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THANHG~1\AppData\Local\Temp\Tandan JSC\files\"/>
    </mc:Choice>
  </mc:AlternateContent>
  <xr:revisionPtr revIDLastSave="0" documentId="13_ncr:1_{B186E323-57B0-469B-A56E-A1242F159D84}" xr6:coauthVersionLast="47" xr6:coauthVersionMax="47" xr10:uidLastSave="{00000000-0000-0000-0000-000000000000}"/>
  <bookViews>
    <workbookView xWindow="-120" yWindow="-120" windowWidth="29040" windowHeight="15720" xr2:uid="{00000000-000D-0000-FFFF-FFFF00000000}"/>
  </bookViews>
  <sheets>
    <sheet name="Phương án" sheetId="1" r:id="rId1"/>
  </sheets>
  <calcPr calcId="181029"/>
</workbook>
</file>

<file path=xl/calcChain.xml><?xml version="1.0" encoding="utf-8"?>
<calcChain xmlns="http://schemas.openxmlformats.org/spreadsheetml/2006/main">
  <c r="N90" i="1" l="1"/>
  <c r="H73" i="1"/>
  <c r="I66" i="1"/>
  <c r="K73" i="1" l="1"/>
  <c r="N66" i="1"/>
  <c r="N74" i="1"/>
  <c r="N73" i="1"/>
  <c r="H67" i="1"/>
  <c r="H23" i="1" l="1"/>
  <c r="K23" i="1" s="1"/>
  <c r="H141" i="1" l="1"/>
  <c r="N137" i="1" l="1"/>
  <c r="N136" i="1"/>
  <c r="N135" i="1"/>
  <c r="G65" i="1"/>
  <c r="H66" i="1"/>
  <c r="K66" i="1" s="1"/>
  <c r="H39" i="1"/>
  <c r="K39" i="1" l="1"/>
  <c r="H140" i="1"/>
  <c r="H122" i="1"/>
  <c r="K122" i="1" l="1"/>
  <c r="N48" i="1" l="1"/>
  <c r="N163" i="1" l="1"/>
  <c r="N162" i="1"/>
  <c r="N151" i="1"/>
  <c r="N150" i="1"/>
  <c r="N149" i="1"/>
  <c r="N148" i="1"/>
  <c r="N147" i="1"/>
  <c r="N146" i="1"/>
  <c r="N145" i="1"/>
  <c r="N144" i="1"/>
  <c r="N143" i="1"/>
  <c r="N142" i="1"/>
  <c r="N140" i="1"/>
  <c r="N139" i="1"/>
  <c r="N122" i="1"/>
  <c r="N121" i="1"/>
  <c r="N119" i="1"/>
  <c r="N112" i="1"/>
  <c r="N111" i="1"/>
  <c r="N110" i="1"/>
  <c r="N109" i="1"/>
  <c r="N103" i="1"/>
  <c r="N101" i="1" l="1"/>
  <c r="N80" i="1"/>
  <c r="N52" i="1" l="1"/>
  <c r="N51" i="1"/>
  <c r="N50" i="1"/>
  <c r="N49" i="1"/>
  <c r="N47" i="1"/>
  <c r="G47" i="1"/>
  <c r="N40" i="1"/>
  <c r="N39" i="1"/>
  <c r="N28" i="1" l="1"/>
  <c r="N19" i="1" l="1"/>
  <c r="N18" i="1"/>
  <c r="H13" i="1" l="1"/>
  <c r="K13" i="1" s="1"/>
  <c r="H12" i="1"/>
  <c r="K12" i="1" s="1"/>
  <c r="H121" i="1"/>
  <c r="J120" i="1"/>
  <c r="I120" i="1"/>
  <c r="G120" i="1"/>
  <c r="H115" i="1"/>
  <c r="J114" i="1"/>
  <c r="I114" i="1"/>
  <c r="G114" i="1"/>
  <c r="H109" i="1"/>
  <c r="J108" i="1"/>
  <c r="I108" i="1"/>
  <c r="G108" i="1"/>
  <c r="H103" i="1"/>
  <c r="J102" i="1"/>
  <c r="I102" i="1"/>
  <c r="G102" i="1"/>
  <c r="J91" i="1"/>
  <c r="I91" i="1"/>
  <c r="G91" i="1"/>
  <c r="H80" i="1"/>
  <c r="J79" i="1"/>
  <c r="I79" i="1"/>
  <c r="G79" i="1"/>
  <c r="H76" i="1"/>
  <c r="J75" i="1"/>
  <c r="I75" i="1"/>
  <c r="G75" i="1"/>
  <c r="J65" i="1"/>
  <c r="I65" i="1"/>
  <c r="H58" i="1"/>
  <c r="J57" i="1"/>
  <c r="I57" i="1"/>
  <c r="G57" i="1"/>
  <c r="H47" i="1"/>
  <c r="J46" i="1"/>
  <c r="I46" i="1"/>
  <c r="G46" i="1"/>
  <c r="J38" i="1"/>
  <c r="I38" i="1"/>
  <c r="G38" i="1"/>
  <c r="H28" i="1"/>
  <c r="J27" i="1"/>
  <c r="J22" i="1" s="1"/>
  <c r="I27" i="1"/>
  <c r="I22" i="1" s="1"/>
  <c r="G27" i="1"/>
  <c r="G22" i="1" s="1"/>
  <c r="K121" i="1" l="1"/>
  <c r="K120" i="1" s="1"/>
  <c r="H120" i="1"/>
  <c r="K115" i="1"/>
  <c r="K114" i="1" s="1"/>
  <c r="H114" i="1"/>
  <c r="K109" i="1"/>
  <c r="K108" i="1" s="1"/>
  <c r="H108" i="1"/>
  <c r="K103" i="1"/>
  <c r="K102" i="1" s="1"/>
  <c r="H102" i="1"/>
  <c r="K91" i="1"/>
  <c r="H91" i="1"/>
  <c r="K80" i="1"/>
  <c r="K79" i="1" s="1"/>
  <c r="H79" i="1"/>
  <c r="K76" i="1"/>
  <c r="K75" i="1" s="1"/>
  <c r="H75" i="1"/>
  <c r="K65" i="1"/>
  <c r="H65" i="1"/>
  <c r="K58" i="1"/>
  <c r="K57" i="1" s="1"/>
  <c r="H57" i="1"/>
  <c r="K47" i="1"/>
  <c r="K46" i="1" s="1"/>
  <c r="H46" i="1"/>
  <c r="K38" i="1"/>
  <c r="H38" i="1"/>
  <c r="K28" i="1"/>
  <c r="K27" i="1" s="1"/>
  <c r="K22" i="1" s="1"/>
  <c r="H27" i="1"/>
  <c r="H22" i="1" s="1"/>
  <c r="H139" i="1" l="1"/>
  <c r="J138" i="1"/>
  <c r="I138" i="1"/>
  <c r="G138" i="1"/>
  <c r="H135" i="1"/>
  <c r="J134" i="1"/>
  <c r="I134" i="1"/>
  <c r="G134" i="1"/>
  <c r="K139" i="1" l="1"/>
  <c r="K138" i="1" s="1"/>
  <c r="H138" i="1"/>
  <c r="H134" i="1"/>
  <c r="K135" i="1"/>
  <c r="K134" i="1" s="1"/>
  <c r="H11" i="1" l="1"/>
  <c r="J10" i="1"/>
  <c r="I10" i="1"/>
  <c r="G10" i="1"/>
  <c r="H10" i="1" l="1"/>
  <c r="K11" i="1"/>
  <c r="K10" i="1" s="1"/>
</calcChain>
</file>

<file path=xl/sharedStrings.xml><?xml version="1.0" encoding="utf-8"?>
<sst xmlns="http://schemas.openxmlformats.org/spreadsheetml/2006/main" count="375" uniqueCount="165">
  <si>
    <t>Số thửa</t>
  </si>
  <si>
    <t>BỒI THƯỜNG, HỖ TRỢ TÀI SẢN TRÊN ĐẤT</t>
  </si>
  <si>
    <t>Loại tài sản</t>
  </si>
  <si>
    <t>ĐVT</t>
  </si>
  <si>
    <t>Số lượng</t>
  </si>
  <si>
    <t>CLN</t>
  </si>
  <si>
    <t>Cây</t>
  </si>
  <si>
    <t>BHK</t>
  </si>
  <si>
    <t>STT</t>
  </si>
  <si>
    <t xml:space="preserve">Tên chủ sử 
dụng đất </t>
  </si>
  <si>
    <t>Số tờ</t>
  </si>
  <si>
    <t>Loại đất</t>
  </si>
  <si>
    <t>Diện tích (m²)</t>
  </si>
  <si>
    <t>Diện tích thu hồi(m²)</t>
  </si>
  <si>
    <t>Diện tích 
còn lại (m²)</t>
  </si>
  <si>
    <t>Tổng diện tích thu hồi (m²)</t>
  </si>
  <si>
    <t xml:space="preserve"> Diện tích trong ranh giới thu hồi (m²)</t>
  </si>
  <si>
    <t>Diện tích ngoài ranh giới thu hồi khó canh tác (m²)</t>
  </si>
  <si>
    <t>Địa chỉ thửa đất</t>
  </si>
  <si>
    <t>m2</t>
  </si>
  <si>
    <t>m3</t>
  </si>
  <si>
    <t>m</t>
  </si>
  <si>
    <t>Keo ĐK gốc 13-20 cm</t>
  </si>
  <si>
    <t>ONT + 
CLN</t>
  </si>
  <si>
    <t>Xoan ĐK gốc 13-20 cm</t>
  </si>
  <si>
    <t>Tre già ĐK gốc &gt; 7 cm</t>
  </si>
  <si>
    <t>Chuối có quả</t>
  </si>
  <si>
    <t>Khóm</t>
  </si>
  <si>
    <t>Tường rào xây cay bê tông 100mm, bổ trụ</t>
  </si>
  <si>
    <t>Địa điểm: Thôn Thượng - xã Yên Định - tỉnh Bắc Ninh</t>
  </si>
  <si>
    <t>Nông Văn Dũng</t>
  </si>
  <si>
    <t>Thượng</t>
  </si>
  <si>
    <t>Bạch đàn ĐK gốc 13-20cm</t>
  </si>
  <si>
    <t>Bạch đàn ĐK gốc 5-10cm</t>
  </si>
  <si>
    <t>Vải ĐK gốc 21cm</t>
  </si>
  <si>
    <t>Nhãn ĐK gốc 30cm</t>
  </si>
  <si>
    <t>Nhãn ĐK gốc 15cm</t>
  </si>
  <si>
    <t>Táo mới trông 1 năm</t>
  </si>
  <si>
    <t>Mít ĐK gốc 1cm</t>
  </si>
  <si>
    <t>Nhãn ĐK gốc 35cm</t>
  </si>
  <si>
    <t>Nông Thị Nghĩa</t>
  </si>
  <si>
    <t>HL</t>
  </si>
  <si>
    <t>Tre già ĐK gốc &lt; 7 cm</t>
  </si>
  <si>
    <t>Tre bánh tẻ ĐK gốc &gt;7 cm</t>
  </si>
  <si>
    <t>Hoàng Thị Hà;
Lãnh Văn Linh</t>
  </si>
  <si>
    <t>Cây Xạ đen ĐK gốc 1 cm</t>
  </si>
  <si>
    <t>Cây Giềng</t>
  </si>
  <si>
    <t>Mít ĐK gốc 40 cm</t>
  </si>
  <si>
    <t>Ổi ĐK gốc 7 cm</t>
  </si>
  <si>
    <t>Mít ĐK gốc 25 cm</t>
  </si>
  <si>
    <t>Mít ĐK gốc 15 cm</t>
  </si>
  <si>
    <t>khóm</t>
  </si>
  <si>
    <t>Dương Thị Hường</t>
  </si>
  <si>
    <t>Hồng Xiêm ĐK gốc 10 cm</t>
  </si>
  <si>
    <t>Vú Sữa ĐK gốc 5 cm</t>
  </si>
  <si>
    <t>Hoàng Văn Bắc</t>
  </si>
  <si>
    <t>ONT</t>
  </si>
  <si>
    <t>Mái vẩy lợp tôn, khung sắt, nền bê tông</t>
  </si>
  <si>
    <t>Nền láng xi măng</t>
  </si>
  <si>
    <t>Vải ĐK gốc 31 cm</t>
  </si>
  <si>
    <t>Tre bánh tẻ ĐK gốc &lt;7 cm</t>
  </si>
  <si>
    <t>Lưu Thị Hương</t>
  </si>
  <si>
    <t>Xoan ĐK gốc &lt;5 cm, cao 3-5 m</t>
  </si>
  <si>
    <t>Táo ĐK gốc 19 cm</t>
  </si>
  <si>
    <t>Táo ĐK gốc 23 cm</t>
  </si>
  <si>
    <t>Đu đủ có quả</t>
  </si>
  <si>
    <t>Chuối 6 tháng</t>
  </si>
  <si>
    <t>Nông Văn Tuấn</t>
  </si>
  <si>
    <t>Nhà vệ sinh chất lượng thấp</t>
  </si>
  <si>
    <t>Lộc Vừng ĐK gốc 30 cm, 02 cây</t>
  </si>
  <si>
    <t>Thiết Mộc Lan</t>
  </si>
  <si>
    <t>Sung ĐK gốc 30 cm</t>
  </si>
  <si>
    <t>Sung ĐK gốc 50 cm</t>
  </si>
  <si>
    <t>Hoàng Văn Hoan;
Lê Thị Quyên</t>
  </si>
  <si>
    <t>Vi Văn Chính</t>
  </si>
  <si>
    <t>Nhãn ĐK gốc 10 cm</t>
  </si>
  <si>
    <t>Khế ĐK gốc 3 cm</t>
  </si>
  <si>
    <t>Khế ĐK gốc 5 cm</t>
  </si>
  <si>
    <t>Ổi ĐK gốc 5 cm</t>
  </si>
  <si>
    <t>Xoài ĐK gốc 3 cm</t>
  </si>
  <si>
    <t>Hồng Xiêm ĐK gốc 3 cm</t>
  </si>
  <si>
    <t>Đào ĐK gốc 5 cm</t>
  </si>
  <si>
    <t>Bưởi ĐK gốc 3 cm</t>
  </si>
  <si>
    <t>Vi Thị Tuyết</t>
  </si>
  <si>
    <t>Mít ĐK gốc 7 cm</t>
  </si>
  <si>
    <t>Bơ ĐK gốc 3 cm</t>
  </si>
  <si>
    <t>Hồng Xiêm ĐK gốc 8 cm</t>
  </si>
  <si>
    <t>Sung ĐK gốc 18 cm</t>
  </si>
  <si>
    <t>Mít ĐK gốc 12 cm</t>
  </si>
  <si>
    <t>Móc Mật ĐK gốc 2 cm</t>
  </si>
  <si>
    <t>Tường xây cay bê tông 100mm, không trát</t>
  </si>
  <si>
    <t>Lãnh Văn Cương</t>
  </si>
  <si>
    <t>Bể Bioga HDPE</t>
  </si>
  <si>
    <t>Nguyễn Thị Thuỷ</t>
  </si>
  <si>
    <t>Bể nước xây cay bê tông, trát 2 mặt, dày 220mm, có lắp đậy</t>
  </si>
  <si>
    <t>Xoan ĐK gốc 13-20cm (HL)</t>
  </si>
  <si>
    <t>Nguyễn Thái Trung;
Nguyễn Thị Thuỷ</t>
  </si>
  <si>
    <t>Giếng khoan</t>
  </si>
  <si>
    <t>Khế ĐK gốc 25 cm</t>
  </si>
  <si>
    <t>Nhãn ĐK gốc 20 cm</t>
  </si>
  <si>
    <t>Hoàng Thị Mi;
Đào Văn Dũng</t>
  </si>
  <si>
    <t>Sung ĐK gốc 9 cm (HL)</t>
  </si>
  <si>
    <t>Tre già ĐK gốc &gt; 7 cm (HL)</t>
  </si>
  <si>
    <t>Tre già ĐK gốc &lt; 7 cm (HL)</t>
  </si>
  <si>
    <t>Bơ ĐK gốc 15 cm</t>
  </si>
  <si>
    <t>Mít ĐK gốc 10 cm</t>
  </si>
  <si>
    <t>Xoan ĐK gốc 13-20cm</t>
  </si>
  <si>
    <t>Lê Văn Dĩnh</t>
  </si>
  <si>
    <t>Sân lát gạch đỏ 30*30</t>
  </si>
  <si>
    <t>Tường xây gạch chỉ 100mm</t>
  </si>
  <si>
    <t>Khối bê tông cốt thép M200</t>
  </si>
  <si>
    <t>Sân bê tông mac 150</t>
  </si>
  <si>
    <t>Bể nước xây cay bê tông, trát 1 mặt, không lắp đậy</t>
  </si>
  <si>
    <t>Tường xây gạch chỉ 220mm, trát 2 mặt</t>
  </si>
  <si>
    <t>Xoài ĐK gốc 35 cm</t>
  </si>
  <si>
    <t>Mít ĐK gốc 30 cm</t>
  </si>
  <si>
    <t>Vối ĐK gốc 30 cm</t>
  </si>
  <si>
    <t>Hồng Xiêm ĐK gốc 5 cm</t>
  </si>
  <si>
    <t>Chuối 3 tháng</t>
  </si>
  <si>
    <t>Cau ăn quả ĐK gốc 15 cm</t>
  </si>
  <si>
    <t>Chanh ĐK gốc 3 cm</t>
  </si>
  <si>
    <t>Bể phốt có lắp đậy</t>
  </si>
  <si>
    <t>Ruối cảnh (tương đương cây Si, Sanh)</t>
  </si>
  <si>
    <t>Nhà cấp 4 xây tường cay bê tông, không đổ trần, gác dầm mái, lợp tôn lạnh, 01 phòng ngủ, 01 vệ sinh trong nhà, cao 2,6m (tương đương nhà tạm loại 1)</t>
  </si>
  <si>
    <t>Khu chăn nuôi cây cay bê tông, khung kèo sắt, lợp proximang, nền láng xi măng, cao 2,2 m (khu chăn nuôi loại 2)</t>
  </si>
  <si>
    <t>Nhà bếp đổ trần bê tông cốt thép kiên cố, nền lát gạch đỏ (tương đương nhà cấp IV loại 3)</t>
  </si>
  <si>
    <t>Nhà vệ sinh đổ trần bê tông cốt thép kiên cố, nền gạch men (nhà vệ sinh loại 1)</t>
  </si>
  <si>
    <t>Mái vẩy lợp tôn, khung sắt, nền bê tông (Bán mái loại 2)</t>
  </si>
  <si>
    <t>Bếp củi xây cay bê tông, lợp proximang, kèo gỗ, nền láng xi măng, cao 2,6 m (Nhà bếp loại 3)</t>
  </si>
  <si>
    <t>Nhà cấp 4 xây gạch chỉ 220mm, trát sơn 2 mặt, nền lát gạch đỏ, mái lợp tôn xốp, đổ trần bê tông cốt thép, ốp thêm trần nhựa, cao 3,5m (Nhà cấp
IV, loại 3)</t>
  </si>
  <si>
    <t>Mái vẩy mượn tường xây, bức còn lại quây tôn, lợp tôn thường, khung sắt (đang sử dụng làm phòng ngủ), nền bê tông (tương đương Ki ốt loại 2)</t>
  </si>
  <si>
    <t>Nhà cấp 4 (cả ảnh hưởng) xây tường bao, mái lợp tôn lạnh, khung sắt, kèo sắt, không ngăn phòng ngủ, có nhà vệ sinh trong nhà, nền lát gạch đỏ, có bếp trong nhà, cao 4,5 m (Nhà tạm loại 1)</t>
  </si>
  <si>
    <t>Khu chăn nuôi xây cay bê tông bao quanh, lợp proxi mang, kèo gỗ, cao 2,3m (Khu chăn
nuôi loại 2)</t>
  </si>
  <si>
    <t>Nhà bếp xây gạch chỉ bao quanh, cửa gỗ, lợp proximang, kèo gỗ, cao 2,3m (Nhà Bếp loại 2)</t>
  </si>
  <si>
    <t>Mái vẩy lợp tôn thường, khung sắt, quây lưới B40, nền lát gạch đỏ (Bán mái loại 2)</t>
  </si>
  <si>
    <t>Nhà xây tường bao cao 1,9m, bên trên quây tôn lạnh, có phòng ngủ quây tôn, bên trong nhà có nhà vệ sinh và bếp nấu, nền đổ bê tông + lát gạch đỏ, cao 4,8m (Nhà tạm loại 1)</t>
  </si>
  <si>
    <t>Bán mái tôn, khung sắt dọc tường (Bán mái loại 3)</t>
  </si>
  <si>
    <t>Khu chăn nuôi xây gạch chỉ, không trát, nền xi măng, khung kèo gỗ, lợp proximang, cao trên 2,5m (Khu chăn nuôi loại 2)</t>
  </si>
  <si>
    <t>Bán mái khung sắt, lợp tôn, nền láng xi măng (Bán mái loại 2)</t>
  </si>
  <si>
    <t>Nhà cấp 4 xây gạch chỉ 100mm, bổ trụ, trát sơn 2 mặt, nền lát gạch Cramic, khung kèo săt, mái lợp tôn xốp, cửa xếp, cửa cuốn, cửa sổ trấn song sắt hoa, cao &gt;3,5m, có nhà vệ sinh, nhà tắm trong nhà, đầy đủ thiết bị điện nước, ốp tường nhà tắm, vệ sinh cao 2m (Nhà cấp IV, loại 6)</t>
  </si>
  <si>
    <t>điều chỉnh bải sông</t>
  </si>
  <si>
    <t>Ngô</t>
  </si>
  <si>
    <t>Bể phốt HDPE (Thửa 39)</t>
  </si>
  <si>
    <t>Đặng Văn Tậy</t>
  </si>
  <si>
    <t>Dầm móng bê tông cốt thép</t>
  </si>
  <si>
    <t>Nhà tắm, vệ sinh lợp tôn lạnh, cao 3m, nền gạch men, ốp tường cao 3m, có thiết bị điện, bệ bệt</t>
  </si>
  <si>
    <t>Ki ốt xây gạch, trát, lợp tôn lạnh, cao 3m, nền gạch men, cửa sắt</t>
  </si>
  <si>
    <t>SON</t>
  </si>
  <si>
    <t>Diện tích nằm ngoài GCN 
đã được cấp</t>
  </si>
  <si>
    <t>Làm việc VPĐK ranh giới 
cấp GCN QSD đất: để tính BT về đất</t>
  </si>
  <si>
    <t>BCS</t>
  </si>
  <si>
    <t>Đất ở đã bán cho ông Chính</t>
  </si>
  <si>
    <t>Bắn mái loại 2 (Khung sắt lợp tôn)</t>
  </si>
  <si>
    <t>M2 XD</t>
  </si>
  <si>
    <t>HLGT</t>
  </si>
  <si>
    <t>Nhà kho tường quây cửa sắt + alu, mái lợp proximang (tương đương nhà tạm loại 3)</t>
  </si>
  <si>
    <t>ONT
+CLN</t>
  </si>
  <si>
    <t>Dt thu hồi nằm
 ngoài GCN</t>
  </si>
  <si>
    <t>Xoài ĐK gốc 20 cm</t>
  </si>
  <si>
    <t>Xác nhận của UBND xã Yên Định</t>
  </si>
  <si>
    <t xml:space="preserve"> DANH SÁCH THỰC HIỆN DỰ ÁN: XỬ LÝ KHẨN CẤP SỰ CỐ SẠT LỞ ĐẤT MÁI BỜ SÔNG CẨM ĐÀN DỌC THEO ĐƯỜNG TL293D (KẾT NỐI XÃ YÊN ĐỊNH, XÃ ĐẠI SƠN VÀ XÃ VÂN SƠN) XÃ YÊN ĐỊNH, TỈNH BẮC NINH (ĐỢT 1)</t>
  </si>
  <si>
    <t>(Kèm theo Công văn số:             /CV-PTQĐ, ngày           /           /2026 của Chi nhánh Trung tâm Phát triển quỹ đất Sơn Động)</t>
  </si>
  <si>
    <t>2017</t>
  </si>
  <si>
    <t>2008</t>
  </si>
  <si>
    <t>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</si>
</sst>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
    <numFmt numFmtId="167" formatCode="_(* #,##0.0_);_(* \(#,##0.0\);_(* &quot;-&quot;??_);_(@_)"/>
  </numFmts>
  <fonts count="17" x14ac:knownFonts="1">
    <font>
      <sz val="12"/>
      <color theme="1"/>
      <name val="Times New Roman"/>
      <family val="2"/>
    </font>
    <font>
      <sz val="12"/>
      <color theme="1"/>
      <name val="Times New Roman"/>
      <family val="2"/>
    </font>
    <font>
      <b/>
      <sz val="14"/>
      <name val="Times New Roman"/>
      <family val="1"/>
    </font>
    <font>
      <sz val="12"/>
      <name val="Times New Roman"/>
      <family val="1"/>
    </font>
    <font>
      <sz val="14"/>
      <color rgb="FFFF0000"/>
      <name val="Times New Roman"/>
      <family val="1"/>
    </font>
    <font>
      <b/>
      <sz val="14"/>
      <color rgb="FFFF0000"/>
      <name val="Times New Roman"/>
      <family val="1"/>
    </font>
    <font>
      <sz val="14"/>
      <name val="Times New Roman"/>
      <family val="1"/>
    </font>
    <font>
      <sz val="12"/>
      <color rgb="FFFF0000"/>
      <name val="Times New Roman"/>
      <family val="1"/>
    </font>
    <font>
      <b/>
      <sz val="12"/>
      <color rgb="FFFF0000"/>
      <name val="Times New Roman"/>
      <family val="1"/>
    </font>
    <font>
      <b/>
      <sz val="12"/>
      <name val="Times New Roman"/>
      <family val="1"/>
    </font>
    <font>
      <i/>
      <sz val="11"/>
      <name val="Times New Roman"/>
      <family val="1"/>
    </font>
    <font>
      <b/>
      <i/>
      <sz val="12"/>
      <name val="Times New Roman"/>
      <family val="1"/>
    </font>
    <font>
      <b/>
      <i/>
      <sz val="13"/>
      <name val="Times New Roman"/>
      <family val="1"/>
    </font>
    <font>
      <i/>
      <sz val="13"/>
      <name val="Times New Roman"/>
      <family val="1"/>
    </font>
    <font>
      <sz val="13"/>
      <name val="Times New Roman"/>
      <family val="1"/>
    </font>
    <font>
      <b/>
      <sz val="13"/>
      <name val="Times New Roman"/>
      <family val="1"/>
    </font>
    <font>
      <b/>
      <i/>
      <sz val="11"/>
      <name val="Times New Roman"/>
      <family val="1"/>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9" fillId="0" borderId="0" xfId="0" applyFont="1" applyAlignment="1">
      <alignment wrapText="1"/>
    </xf>
    <xf numFmtId="0" fontId="3" fillId="0" borderId="0" xfId="0" applyFont="1" applyAlignment="1">
      <alignment wrapText="1"/>
    </xf>
    <xf numFmtId="0" fontId="12" fillId="0" borderId="0" xfId="0" applyFont="1" applyAlignment="1">
      <alignment horizontal="centerContinuous" vertical="center" wrapText="1"/>
    </xf>
    <xf numFmtId="0" fontId="13" fillId="0" borderId="0" xfId="0" applyFont="1" applyAlignment="1">
      <alignment horizontal="centerContinuous" vertical="center" wrapText="1"/>
    </xf>
    <xf numFmtId="0" fontId="15" fillId="0" borderId="0" xfId="0" applyFont="1" applyAlignment="1">
      <alignment horizontal="centerContinuous" wrapText="1"/>
    </xf>
    <xf numFmtId="0" fontId="14" fillId="0" borderId="0" xfId="0" applyFont="1" applyAlignment="1">
      <alignment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right" vertical="center" wrapText="1"/>
    </xf>
    <xf numFmtId="3" fontId="10" fillId="0" borderId="1" xfId="0" applyNumberFormat="1" applyFont="1" applyBorder="1" applyAlignment="1">
      <alignment horizontal="center" vertical="center" wrapText="1"/>
    </xf>
    <xf numFmtId="167" fontId="10" fillId="0" borderId="1" xfId="1"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3" fillId="0" borderId="0" xfId="0" applyFont="1"/>
    <xf numFmtId="3" fontId="9" fillId="0" borderId="2" xfId="0" applyNumberFormat="1" applyFont="1" applyBorder="1" applyAlignment="1">
      <alignment horizontal="center" vertical="center" wrapText="1"/>
    </xf>
    <xf numFmtId="167" fontId="9" fillId="0" borderId="2" xfId="1" applyNumberFormat="1" applyFont="1" applyFill="1" applyBorder="1" applyAlignment="1">
      <alignment horizontal="center" vertical="center" wrapText="1"/>
    </xf>
    <xf numFmtId="0" fontId="3" fillId="0" borderId="0" xfId="0" applyFont="1" applyAlignment="1">
      <alignment horizontal="center" vertical="center" wrapText="1"/>
    </xf>
    <xf numFmtId="166" fontId="11" fillId="0" borderId="2"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vertical="center" wrapText="1"/>
    </xf>
    <xf numFmtId="0" fontId="6" fillId="0" borderId="5" xfId="0" applyFont="1" applyBorder="1" applyAlignment="1">
      <alignment vertical="center" wrapText="1"/>
    </xf>
    <xf numFmtId="0" fontId="2" fillId="0" borderId="5" xfId="0" applyFont="1" applyBorder="1"/>
    <xf numFmtId="0" fontId="2" fillId="0" borderId="5" xfId="0" applyFont="1" applyBorder="1" applyAlignment="1">
      <alignment horizontal="center"/>
    </xf>
    <xf numFmtId="0" fontId="4" fillId="0" borderId="0" xfId="0" applyFont="1"/>
    <xf numFmtId="0" fontId="2" fillId="0" borderId="6" xfId="0" applyFont="1" applyBorder="1" applyAlignment="1">
      <alignment horizontal="center" vertical="center"/>
    </xf>
    <xf numFmtId="0" fontId="6" fillId="0" borderId="6" xfId="0" applyFont="1" applyBorder="1" applyAlignment="1">
      <alignment vertical="center" wrapText="1"/>
    </xf>
    <xf numFmtId="0" fontId="6" fillId="0" borderId="6" xfId="0" applyFont="1" applyBorder="1"/>
    <xf numFmtId="0" fontId="6" fillId="0" borderId="6" xfId="0" applyFont="1" applyBorder="1" applyAlignment="1">
      <alignment horizontal="right" wrapText="1"/>
    </xf>
    <xf numFmtId="0" fontId="6" fillId="0" borderId="6" xfId="0" applyFont="1" applyBorder="1" applyAlignment="1">
      <alignment horizontal="center" wrapText="1"/>
    </xf>
    <xf numFmtId="164" fontId="6" fillId="0" borderId="6" xfId="0" applyNumberFormat="1" applyFont="1" applyBorder="1" applyAlignment="1">
      <alignment horizontal="right"/>
    </xf>
    <xf numFmtId="0" fontId="6" fillId="0" borderId="6" xfId="0" applyFont="1" applyBorder="1" applyAlignment="1">
      <alignment wrapText="1"/>
    </xf>
    <xf numFmtId="0" fontId="6" fillId="0" borderId="6" xfId="0" applyFont="1" applyBorder="1" applyAlignment="1">
      <alignment horizontal="center"/>
    </xf>
    <xf numFmtId="43" fontId="6" fillId="0" borderId="6" xfId="1" applyFont="1" applyFill="1" applyBorder="1" applyAlignment="1">
      <alignment horizontal="center"/>
    </xf>
    <xf numFmtId="167" fontId="6" fillId="0" borderId="6" xfId="1" applyNumberFormat="1" applyFont="1" applyFill="1" applyBorder="1" applyAlignment="1">
      <alignment horizontal="center"/>
    </xf>
    <xf numFmtId="0" fontId="5" fillId="0" borderId="0" xfId="0" applyFont="1"/>
    <xf numFmtId="0" fontId="8" fillId="0" borderId="0" xfId="0" applyFont="1" applyAlignment="1">
      <alignment horizontal="center"/>
    </xf>
    <xf numFmtId="0" fontId="8" fillId="0" borderId="0" xfId="0" applyFont="1" applyAlignment="1">
      <alignment vertical="center"/>
    </xf>
    <xf numFmtId="0" fontId="7" fillId="0" borderId="0" xfId="0" applyFont="1" applyAlignment="1">
      <alignment horizontal="center"/>
    </xf>
    <xf numFmtId="0" fontId="7" fillId="0" borderId="0" xfId="0" applyFont="1"/>
    <xf numFmtId="3" fontId="7" fillId="0" borderId="0" xfId="0" applyNumberFormat="1" applyFont="1"/>
    <xf numFmtId="3" fontId="7" fillId="0" borderId="0" xfId="0" applyNumberFormat="1" applyFont="1" applyAlignment="1">
      <alignment horizontal="center"/>
    </xf>
    <xf numFmtId="167" fontId="7" fillId="0" borderId="0" xfId="1" applyNumberFormat="1" applyFont="1" applyFill="1" applyAlignment="1">
      <alignment horizontal="center"/>
    </xf>
    <xf numFmtId="0" fontId="8" fillId="0" borderId="0" xfId="0" applyFont="1"/>
    <xf numFmtId="43" fontId="8" fillId="0" borderId="0" xfId="0" applyNumberFormat="1" applyFont="1" applyAlignment="1">
      <alignment vertical="center"/>
    </xf>
    <xf numFmtId="43" fontId="7" fillId="0" borderId="0" xfId="0" applyNumberFormat="1" applyFont="1"/>
    <xf numFmtId="0" fontId="7" fillId="0" borderId="0" xfId="0" applyFont="1" applyAlignment="1">
      <alignment vertical="center"/>
    </xf>
    <xf numFmtId="0" fontId="2" fillId="0" borderId="5" xfId="0" applyFont="1" applyBorder="1" applyAlignment="1">
      <alignment wrapText="1"/>
    </xf>
    <xf numFmtId="167" fontId="2" fillId="0" borderId="5" xfId="1" applyNumberFormat="1" applyFont="1" applyFill="1" applyBorder="1" applyAlignment="1">
      <alignment horizontal="center"/>
    </xf>
    <xf numFmtId="3" fontId="2" fillId="0" borderId="5" xfId="0" applyNumberFormat="1" applyFont="1" applyBorder="1"/>
    <xf numFmtId="0" fontId="2" fillId="0" borderId="6" xfId="0" applyFont="1" applyBorder="1" applyAlignment="1">
      <alignment vertical="center" wrapText="1"/>
    </xf>
    <xf numFmtId="3" fontId="2" fillId="0" borderId="6" xfId="0" applyNumberFormat="1" applyFont="1" applyBorder="1"/>
    <xf numFmtId="0" fontId="2" fillId="0" borderId="6" xfId="0" applyFont="1" applyBorder="1" applyAlignment="1">
      <alignment vertical="center"/>
    </xf>
    <xf numFmtId="0" fontId="6" fillId="0" borderId="5" xfId="0" applyFont="1" applyBorder="1" applyAlignment="1">
      <alignment horizontal="center"/>
    </xf>
    <xf numFmtId="0" fontId="6" fillId="0" borderId="5" xfId="0" applyFont="1" applyBorder="1" applyAlignment="1">
      <alignment wrapText="1"/>
    </xf>
    <xf numFmtId="0" fontId="6" fillId="0" borderId="5" xfId="0" applyFont="1" applyBorder="1"/>
    <xf numFmtId="3" fontId="6" fillId="0" borderId="5" xfId="0" applyNumberFormat="1" applyFont="1" applyBorder="1" applyAlignment="1">
      <alignment horizontal="center" vertical="center"/>
    </xf>
    <xf numFmtId="165" fontId="6" fillId="0" borderId="6" xfId="0" applyNumberFormat="1" applyFont="1" applyBorder="1" applyAlignment="1">
      <alignment horizontal="center"/>
    </xf>
    <xf numFmtId="0" fontId="2" fillId="0" borderId="6" xfId="0" applyFont="1" applyBorder="1" applyAlignment="1">
      <alignment horizontal="center"/>
    </xf>
    <xf numFmtId="4" fontId="6" fillId="0" borderId="6" xfId="0" applyNumberFormat="1" applyFont="1" applyBorder="1" applyAlignment="1">
      <alignment horizontal="center"/>
    </xf>
    <xf numFmtId="0" fontId="6" fillId="0" borderId="6" xfId="0" applyFont="1" applyBorder="1" applyAlignment="1">
      <alignment vertical="center"/>
    </xf>
    <xf numFmtId="0" fontId="6" fillId="0" borderId="8" xfId="0" applyFont="1" applyBorder="1" applyAlignment="1">
      <alignment horizontal="center" vertical="center"/>
    </xf>
    <xf numFmtId="164" fontId="2" fillId="0" borderId="5" xfId="0" applyNumberFormat="1" applyFont="1" applyBorder="1" applyAlignment="1">
      <alignment horizontal="center"/>
    </xf>
    <xf numFmtId="3" fontId="6" fillId="0" borderId="6" xfId="0" applyNumberFormat="1" applyFont="1" applyBorder="1" applyAlignment="1">
      <alignment horizontal="center"/>
    </xf>
    <xf numFmtId="0" fontId="6" fillId="0" borderId="7" xfId="0" applyFont="1" applyBorder="1" applyAlignment="1">
      <alignment horizontal="center" vertical="center"/>
    </xf>
    <xf numFmtId="49" fontId="6" fillId="0" borderId="6"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7"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 xfId="0" applyNumberFormat="1" applyFont="1" applyBorder="1" applyAlignment="1">
      <alignment vertical="center"/>
    </xf>
    <xf numFmtId="3" fontId="2" fillId="0" borderId="0" xfId="0" applyNumberFormat="1" applyFont="1" applyAlignment="1">
      <alignment horizontal="center" vertical="center" wrapText="1"/>
    </xf>
    <xf numFmtId="0" fontId="9"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0" fontId="6" fillId="0" borderId="7" xfId="0" applyFont="1" applyBorder="1" applyAlignment="1">
      <alignment horizontal="center"/>
    </xf>
    <xf numFmtId="0" fontId="6" fillId="0" borderId="3" xfId="0" applyFont="1" applyBorder="1" applyAlignment="1">
      <alignment horizontal="center"/>
    </xf>
    <xf numFmtId="0" fontId="6" fillId="0" borderId="8" xfId="0" applyFont="1" applyBorder="1" applyAlignment="1">
      <alignment horizontal="center"/>
    </xf>
    <xf numFmtId="49" fontId="6" fillId="0" borderId="7"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7"/>
  <sheetViews>
    <sheetView tabSelected="1" topLeftCell="A22" zoomScale="51" zoomScaleNormal="51" zoomScaleSheetLayoutView="42" workbookViewId="0">
      <selection activeCell="Z7" sqref="Z7"/>
    </sheetView>
  </sheetViews>
  <sheetFormatPr defaultColWidth="8.75" defaultRowHeight="39" customHeight="1" x14ac:dyDescent="0.25"/>
  <cols>
    <col min="1" max="1" width="5.875" style="36" customWidth="1"/>
    <col min="2" max="2" width="27.125" style="37" customWidth="1"/>
    <col min="3" max="3" width="12.5" style="38" customWidth="1"/>
    <col min="4" max="4" width="6.75" style="39" customWidth="1"/>
    <col min="5" max="5" width="8.75" style="39" customWidth="1"/>
    <col min="6" max="6" width="10.75" style="39" customWidth="1"/>
    <col min="7" max="7" width="13.625" style="39" customWidth="1"/>
    <col min="8" max="8" width="13" style="39" customWidth="1"/>
    <col min="9" max="9" width="12.75" style="39" customWidth="1"/>
    <col min="10" max="10" width="11.625" style="40" customWidth="1"/>
    <col min="11" max="11" width="14.125" style="40" customWidth="1"/>
    <col min="12" max="12" width="52.625" style="38" customWidth="1"/>
    <col min="13" max="13" width="10.125" style="40" customWidth="1"/>
    <col min="14" max="14" width="9.625" style="42" customWidth="1"/>
    <col min="15" max="15" width="38.625" style="43" customWidth="1"/>
    <col min="16" max="16384" width="8.75" style="39"/>
  </cols>
  <sheetData>
    <row r="1" spans="1:15" s="2" customFormat="1" ht="31.9" customHeight="1" x14ac:dyDescent="0.25">
      <c r="A1" s="71"/>
      <c r="B1" s="71"/>
      <c r="C1" s="71"/>
      <c r="D1" s="71"/>
      <c r="E1" s="71"/>
      <c r="F1" s="71"/>
      <c r="G1" s="71"/>
      <c r="H1" s="71"/>
      <c r="I1" s="71"/>
      <c r="J1" s="71"/>
      <c r="K1" s="71"/>
      <c r="L1" s="71"/>
      <c r="M1" s="71"/>
      <c r="N1" s="71"/>
      <c r="O1" s="1"/>
    </row>
    <row r="2" spans="1:15" s="2" customFormat="1" ht="43.5" customHeight="1" x14ac:dyDescent="0.25">
      <c r="A2" s="71" t="s">
        <v>160</v>
      </c>
      <c r="B2" s="71"/>
      <c r="C2" s="71"/>
      <c r="D2" s="71"/>
      <c r="E2" s="71"/>
      <c r="F2" s="71"/>
      <c r="G2" s="71"/>
      <c r="H2" s="71"/>
      <c r="I2" s="71"/>
      <c r="J2" s="71"/>
      <c r="K2" s="71"/>
      <c r="L2" s="71"/>
      <c r="M2" s="71"/>
      <c r="N2" s="71"/>
      <c r="O2" s="71"/>
    </row>
    <row r="3" spans="1:15" s="2" customFormat="1" ht="31.9" customHeight="1" x14ac:dyDescent="0.25">
      <c r="A3" s="71" t="s">
        <v>29</v>
      </c>
      <c r="B3" s="71"/>
      <c r="C3" s="71"/>
      <c r="D3" s="71"/>
      <c r="E3" s="71"/>
      <c r="F3" s="71"/>
      <c r="G3" s="71"/>
      <c r="H3" s="71"/>
      <c r="I3" s="71"/>
      <c r="J3" s="71"/>
      <c r="K3" s="71"/>
      <c r="L3" s="71"/>
      <c r="M3" s="71"/>
      <c r="N3" s="71"/>
      <c r="O3" s="71"/>
    </row>
    <row r="4" spans="1:15" s="6" customFormat="1" ht="31.9" customHeight="1" x14ac:dyDescent="0.25">
      <c r="A4" s="3" t="s">
        <v>161</v>
      </c>
      <c r="B4" s="3"/>
      <c r="C4" s="4"/>
      <c r="D4" s="4"/>
      <c r="E4" s="4"/>
      <c r="F4" s="4"/>
      <c r="G4" s="4"/>
      <c r="H4" s="4"/>
      <c r="I4" s="4"/>
      <c r="J4" s="4"/>
      <c r="K4" s="4"/>
      <c r="L4" s="4"/>
      <c r="M4" s="4"/>
      <c r="N4" s="4"/>
      <c r="O4" s="5"/>
    </row>
    <row r="5" spans="1:15" s="2" customFormat="1" ht="31.9" customHeight="1" x14ac:dyDescent="0.25">
      <c r="A5" s="7"/>
      <c r="B5" s="7"/>
      <c r="C5" s="8"/>
      <c r="D5" s="8"/>
      <c r="E5" s="8"/>
      <c r="F5" s="8"/>
      <c r="G5" s="8"/>
      <c r="H5" s="8"/>
      <c r="I5" s="8"/>
      <c r="J5" s="9"/>
      <c r="K5" s="9"/>
      <c r="L5" s="8"/>
      <c r="M5" s="10"/>
      <c r="N5" s="11"/>
      <c r="O5" s="1"/>
    </row>
    <row r="6" spans="1:15" s="14" customFormat="1" ht="39" customHeight="1" x14ac:dyDescent="0.25">
      <c r="A6" s="72" t="s">
        <v>8</v>
      </c>
      <c r="B6" s="72" t="s">
        <v>9</v>
      </c>
      <c r="C6" s="72" t="s">
        <v>18</v>
      </c>
      <c r="D6" s="72" t="s">
        <v>0</v>
      </c>
      <c r="E6" s="72" t="s">
        <v>10</v>
      </c>
      <c r="F6" s="72" t="s">
        <v>11</v>
      </c>
      <c r="G6" s="72" t="s">
        <v>12</v>
      </c>
      <c r="H6" s="72" t="s">
        <v>13</v>
      </c>
      <c r="I6" s="72"/>
      <c r="J6" s="72"/>
      <c r="K6" s="72" t="s">
        <v>14</v>
      </c>
      <c r="L6" s="13" t="s">
        <v>1</v>
      </c>
      <c r="M6" s="13"/>
      <c r="N6" s="13"/>
      <c r="O6" s="73" t="s">
        <v>159</v>
      </c>
    </row>
    <row r="7" spans="1:15" s="14" customFormat="1" ht="54" customHeight="1" x14ac:dyDescent="0.25">
      <c r="A7" s="72"/>
      <c r="B7" s="72"/>
      <c r="C7" s="72"/>
      <c r="D7" s="72"/>
      <c r="E7" s="72"/>
      <c r="F7" s="72"/>
      <c r="G7" s="72"/>
      <c r="H7" s="72"/>
      <c r="I7" s="72"/>
      <c r="J7" s="72"/>
      <c r="K7" s="74"/>
      <c r="L7" s="13"/>
      <c r="M7" s="13"/>
      <c r="N7" s="13"/>
      <c r="O7" s="73"/>
    </row>
    <row r="8" spans="1:15" s="17" customFormat="1" ht="97.15" customHeight="1" x14ac:dyDescent="0.25">
      <c r="A8" s="72"/>
      <c r="B8" s="72"/>
      <c r="C8" s="72"/>
      <c r="D8" s="72"/>
      <c r="E8" s="72"/>
      <c r="F8" s="72"/>
      <c r="G8" s="72"/>
      <c r="H8" s="12" t="s">
        <v>15</v>
      </c>
      <c r="I8" s="12" t="s">
        <v>16</v>
      </c>
      <c r="J8" s="12" t="s">
        <v>17</v>
      </c>
      <c r="K8" s="74"/>
      <c r="L8" s="15" t="s">
        <v>2</v>
      </c>
      <c r="M8" s="15" t="s">
        <v>3</v>
      </c>
      <c r="N8" s="16" t="s">
        <v>4</v>
      </c>
      <c r="O8" s="73"/>
    </row>
    <row r="9" spans="1:15" s="17" customFormat="1" ht="39" customHeight="1" x14ac:dyDescent="0.25">
      <c r="A9" s="18">
        <v>1</v>
      </c>
      <c r="B9" s="18">
        <v>2</v>
      </c>
      <c r="C9" s="18">
        <v>3</v>
      </c>
      <c r="D9" s="18">
        <v>4</v>
      </c>
      <c r="E9" s="18">
        <v>5</v>
      </c>
      <c r="F9" s="18">
        <v>6</v>
      </c>
      <c r="G9" s="18">
        <v>7</v>
      </c>
      <c r="H9" s="18">
        <v>8</v>
      </c>
      <c r="I9" s="18">
        <v>9</v>
      </c>
      <c r="J9" s="18">
        <v>10</v>
      </c>
      <c r="K9" s="18">
        <v>11</v>
      </c>
      <c r="L9" s="18">
        <v>12</v>
      </c>
      <c r="M9" s="18">
        <v>13</v>
      </c>
      <c r="N9" s="18">
        <v>14</v>
      </c>
      <c r="O9" s="18">
        <v>15</v>
      </c>
    </row>
    <row r="10" spans="1:15" s="24" customFormat="1" ht="39" customHeight="1" x14ac:dyDescent="0.3">
      <c r="A10" s="19">
        <v>1</v>
      </c>
      <c r="B10" s="20" t="s">
        <v>30</v>
      </c>
      <c r="C10" s="21" t="s">
        <v>31</v>
      </c>
      <c r="D10" s="22"/>
      <c r="E10" s="22"/>
      <c r="F10" s="23"/>
      <c r="G10" s="22">
        <f>SUM(G11:G21)</f>
        <v>2204.6999999999998</v>
      </c>
      <c r="H10" s="22">
        <f>SUM(H11:H21)</f>
        <v>551.5</v>
      </c>
      <c r="I10" s="22">
        <f>SUM(I11:I21)</f>
        <v>551.5</v>
      </c>
      <c r="J10" s="22">
        <f>SUM(J11:J21)</f>
        <v>0</v>
      </c>
      <c r="K10" s="22">
        <f>SUM(K11:K21)</f>
        <v>1653.2</v>
      </c>
      <c r="L10" s="47"/>
      <c r="M10" s="23"/>
      <c r="N10" s="48"/>
      <c r="O10" s="49"/>
    </row>
    <row r="11" spans="1:15" s="24" customFormat="1" ht="39" customHeight="1" x14ac:dyDescent="0.3">
      <c r="A11" s="25"/>
      <c r="B11" s="50" t="s">
        <v>140</v>
      </c>
      <c r="C11" s="26"/>
      <c r="D11" s="27">
        <v>161</v>
      </c>
      <c r="E11" s="28">
        <v>8</v>
      </c>
      <c r="F11" s="29" t="s">
        <v>5</v>
      </c>
      <c r="G11" s="27">
        <v>1600.3</v>
      </c>
      <c r="H11" s="30">
        <f>I11+J11</f>
        <v>523.4</v>
      </c>
      <c r="I11" s="30">
        <v>523.4</v>
      </c>
      <c r="J11" s="30">
        <v>0</v>
      </c>
      <c r="K11" s="30">
        <f>G11-H11</f>
        <v>1076.9000000000001</v>
      </c>
      <c r="L11" s="31" t="s">
        <v>32</v>
      </c>
      <c r="M11" s="32" t="s">
        <v>6</v>
      </c>
      <c r="N11" s="33">
        <v>10</v>
      </c>
      <c r="O11" s="64">
        <v>2017</v>
      </c>
    </row>
    <row r="12" spans="1:15" s="24" customFormat="1" ht="39" customHeight="1" x14ac:dyDescent="0.3">
      <c r="A12" s="25"/>
      <c r="B12" s="50"/>
      <c r="C12" s="26"/>
      <c r="D12" s="27">
        <v>153</v>
      </c>
      <c r="E12" s="28">
        <v>8</v>
      </c>
      <c r="F12" s="29" t="s">
        <v>5</v>
      </c>
      <c r="G12" s="27">
        <v>395.7</v>
      </c>
      <c r="H12" s="30">
        <f>I12+J12</f>
        <v>5.9</v>
      </c>
      <c r="I12" s="30">
        <v>5.9</v>
      </c>
      <c r="J12" s="30">
        <v>0</v>
      </c>
      <c r="K12" s="30">
        <f>G12-H12</f>
        <v>389.8</v>
      </c>
      <c r="L12" s="31" t="s">
        <v>33</v>
      </c>
      <c r="M12" s="32" t="s">
        <v>6</v>
      </c>
      <c r="N12" s="34">
        <v>5</v>
      </c>
      <c r="O12" s="64">
        <v>2017</v>
      </c>
    </row>
    <row r="13" spans="1:15" s="24" customFormat="1" ht="39" customHeight="1" x14ac:dyDescent="0.3">
      <c r="A13" s="25"/>
      <c r="B13" s="50"/>
      <c r="C13" s="26"/>
      <c r="D13" s="27">
        <v>231</v>
      </c>
      <c r="E13" s="28">
        <v>8</v>
      </c>
      <c r="F13" s="29" t="s">
        <v>7</v>
      </c>
      <c r="G13" s="27">
        <v>208.7</v>
      </c>
      <c r="H13" s="30">
        <f>I13+J13</f>
        <v>22.2</v>
      </c>
      <c r="I13" s="30">
        <v>22.2</v>
      </c>
      <c r="J13" s="30">
        <v>0</v>
      </c>
      <c r="K13" s="30">
        <f>G13-H13</f>
        <v>186.5</v>
      </c>
      <c r="L13" s="31" t="s">
        <v>34</v>
      </c>
      <c r="M13" s="32" t="s">
        <v>6</v>
      </c>
      <c r="N13" s="34">
        <v>11</v>
      </c>
      <c r="O13" s="64">
        <v>2017</v>
      </c>
    </row>
    <row r="14" spans="1:15" s="24" customFormat="1" ht="39" customHeight="1" x14ac:dyDescent="0.3">
      <c r="A14" s="25"/>
      <c r="B14" s="50"/>
      <c r="C14" s="26"/>
      <c r="D14" s="27"/>
      <c r="E14" s="28"/>
      <c r="F14" s="29"/>
      <c r="G14" s="27"/>
      <c r="H14" s="30"/>
      <c r="I14" s="30"/>
      <c r="J14" s="30"/>
      <c r="K14" s="30"/>
      <c r="L14" s="31" t="s">
        <v>35</v>
      </c>
      <c r="M14" s="32" t="s">
        <v>6</v>
      </c>
      <c r="N14" s="34">
        <v>1</v>
      </c>
      <c r="O14" s="64">
        <v>2017</v>
      </c>
    </row>
    <row r="15" spans="1:15" s="24" customFormat="1" ht="39" customHeight="1" x14ac:dyDescent="0.3">
      <c r="A15" s="25"/>
      <c r="B15" s="50"/>
      <c r="C15" s="26"/>
      <c r="D15" s="27"/>
      <c r="E15" s="28"/>
      <c r="F15" s="29"/>
      <c r="G15" s="27"/>
      <c r="H15" s="30"/>
      <c r="I15" s="30"/>
      <c r="J15" s="30"/>
      <c r="K15" s="30"/>
      <c r="L15" s="31" t="s">
        <v>36</v>
      </c>
      <c r="M15" s="32" t="s">
        <v>6</v>
      </c>
      <c r="N15" s="34">
        <v>1</v>
      </c>
      <c r="O15" s="64">
        <v>2017</v>
      </c>
    </row>
    <row r="16" spans="1:15" s="24" customFormat="1" ht="39" customHeight="1" x14ac:dyDescent="0.3">
      <c r="A16" s="25"/>
      <c r="B16" s="50"/>
      <c r="C16" s="26"/>
      <c r="D16" s="27"/>
      <c r="E16" s="28"/>
      <c r="F16" s="29"/>
      <c r="G16" s="27"/>
      <c r="H16" s="30"/>
      <c r="I16" s="30"/>
      <c r="J16" s="30"/>
      <c r="K16" s="30"/>
      <c r="L16" s="31" t="s">
        <v>37</v>
      </c>
      <c r="M16" s="32" t="s">
        <v>6</v>
      </c>
      <c r="N16" s="34">
        <v>28</v>
      </c>
      <c r="O16" s="64">
        <v>2017</v>
      </c>
    </row>
    <row r="17" spans="1:15" s="24" customFormat="1" ht="39" customHeight="1" x14ac:dyDescent="0.3">
      <c r="A17" s="25"/>
      <c r="B17" s="50"/>
      <c r="C17" s="26"/>
      <c r="D17" s="27"/>
      <c r="E17" s="28"/>
      <c r="F17" s="29"/>
      <c r="G17" s="27"/>
      <c r="H17" s="30"/>
      <c r="I17" s="30"/>
      <c r="J17" s="30"/>
      <c r="K17" s="30"/>
      <c r="L17" s="31" t="s">
        <v>38</v>
      </c>
      <c r="M17" s="32" t="s">
        <v>6</v>
      </c>
      <c r="N17" s="34">
        <v>1</v>
      </c>
      <c r="O17" s="64">
        <v>2017</v>
      </c>
    </row>
    <row r="18" spans="1:15" s="24" customFormat="1" ht="87" customHeight="1" x14ac:dyDescent="0.3">
      <c r="A18" s="25"/>
      <c r="B18" s="50"/>
      <c r="C18" s="26"/>
      <c r="D18" s="27"/>
      <c r="E18" s="28"/>
      <c r="F18" s="29"/>
      <c r="G18" s="27"/>
      <c r="H18" s="30"/>
      <c r="I18" s="30"/>
      <c r="J18" s="30"/>
      <c r="K18" s="30"/>
      <c r="L18" s="31" t="s">
        <v>123</v>
      </c>
      <c r="M18" s="32" t="s">
        <v>19</v>
      </c>
      <c r="N18" s="34">
        <f>(4.1*2.8)+(2.9*2.8)</f>
        <v>19.599999999999998</v>
      </c>
      <c r="O18" s="64">
        <v>2017</v>
      </c>
    </row>
    <row r="19" spans="1:15" s="24" customFormat="1" ht="39" customHeight="1" x14ac:dyDescent="0.3">
      <c r="A19" s="25"/>
      <c r="B19" s="50"/>
      <c r="C19" s="26"/>
      <c r="D19" s="27"/>
      <c r="E19" s="28"/>
      <c r="F19" s="29"/>
      <c r="G19" s="27"/>
      <c r="H19" s="30"/>
      <c r="I19" s="30"/>
      <c r="J19" s="30"/>
      <c r="K19" s="30"/>
      <c r="L19" s="31" t="s">
        <v>155</v>
      </c>
      <c r="M19" s="32" t="s">
        <v>19</v>
      </c>
      <c r="N19" s="34">
        <f>7.2*3.2</f>
        <v>23.040000000000003</v>
      </c>
      <c r="O19" s="61">
        <v>2017</v>
      </c>
    </row>
    <row r="20" spans="1:15" s="24" customFormat="1" ht="39" customHeight="1" x14ac:dyDescent="0.3">
      <c r="A20" s="25"/>
      <c r="B20" s="50"/>
      <c r="C20" s="26"/>
      <c r="D20" s="27"/>
      <c r="E20" s="28"/>
      <c r="F20" s="29"/>
      <c r="G20" s="27"/>
      <c r="H20" s="30"/>
      <c r="I20" s="30"/>
      <c r="J20" s="30"/>
      <c r="K20" s="30"/>
      <c r="L20" s="31" t="s">
        <v>39</v>
      </c>
      <c r="M20" s="32" t="s">
        <v>6</v>
      </c>
      <c r="N20" s="34">
        <v>1</v>
      </c>
      <c r="O20" s="64">
        <v>2017</v>
      </c>
    </row>
    <row r="21" spans="1:15" s="24" customFormat="1" ht="39" customHeight="1" x14ac:dyDescent="0.3">
      <c r="A21" s="25"/>
      <c r="B21" s="50"/>
      <c r="C21" s="26"/>
      <c r="D21" s="27"/>
      <c r="E21" s="28"/>
      <c r="F21" s="29"/>
      <c r="G21" s="27"/>
      <c r="H21" s="30"/>
      <c r="I21" s="30"/>
      <c r="J21" s="30"/>
      <c r="K21" s="30"/>
      <c r="L21" s="31" t="s">
        <v>122</v>
      </c>
      <c r="M21" s="32" t="s">
        <v>6</v>
      </c>
      <c r="N21" s="34">
        <v>5</v>
      </c>
      <c r="O21" s="64">
        <v>2017</v>
      </c>
    </row>
    <row r="22" spans="1:15" s="35" customFormat="1" ht="39" customHeight="1" x14ac:dyDescent="0.3">
      <c r="A22" s="19">
        <v>2</v>
      </c>
      <c r="B22" s="20" t="s">
        <v>40</v>
      </c>
      <c r="C22" s="21" t="s">
        <v>31</v>
      </c>
      <c r="D22" s="22"/>
      <c r="E22" s="22"/>
      <c r="F22" s="23"/>
      <c r="G22" s="23">
        <f>SUM(G23:G32)</f>
        <v>0</v>
      </c>
      <c r="H22" s="23">
        <f>SUM(H23:H32)</f>
        <v>0</v>
      </c>
      <c r="I22" s="23">
        <f>SUM(I23:I32)</f>
        <v>0</v>
      </c>
      <c r="J22" s="23">
        <f>SUM(J23:J32)</f>
        <v>0</v>
      </c>
      <c r="K22" s="23">
        <f>SUM(K23:K32)</f>
        <v>0</v>
      </c>
      <c r="L22" s="47"/>
      <c r="M22" s="23"/>
      <c r="N22" s="48"/>
      <c r="O22" s="49"/>
    </row>
    <row r="23" spans="1:15" s="24" customFormat="1" ht="39" customHeight="1" x14ac:dyDescent="0.3">
      <c r="A23" s="25"/>
      <c r="B23" s="52"/>
      <c r="C23" s="27"/>
      <c r="D23" s="27">
        <v>23</v>
      </c>
      <c r="E23" s="28">
        <v>8</v>
      </c>
      <c r="F23" s="29" t="s">
        <v>147</v>
      </c>
      <c r="G23" s="32">
        <v>0</v>
      </c>
      <c r="H23" s="32">
        <f>SUM(I23:J23)</f>
        <v>0</v>
      </c>
      <c r="I23" s="32">
        <v>0</v>
      </c>
      <c r="J23" s="32">
        <v>0</v>
      </c>
      <c r="K23" s="32">
        <f>G23-H23</f>
        <v>0</v>
      </c>
      <c r="L23" s="31" t="s">
        <v>25</v>
      </c>
      <c r="M23" s="32" t="s">
        <v>6</v>
      </c>
      <c r="N23" s="34">
        <v>68</v>
      </c>
      <c r="O23" s="65">
        <v>1990</v>
      </c>
    </row>
    <row r="24" spans="1:15" s="24" customFormat="1" ht="39" customHeight="1" x14ac:dyDescent="0.3">
      <c r="A24" s="25"/>
      <c r="B24" s="52"/>
      <c r="C24" s="27"/>
      <c r="D24" s="27"/>
      <c r="E24" s="28"/>
      <c r="F24" s="29"/>
      <c r="G24" s="27"/>
      <c r="H24" s="30"/>
      <c r="I24" s="30"/>
      <c r="J24" s="30"/>
      <c r="K24" s="30"/>
      <c r="L24" s="31" t="s">
        <v>42</v>
      </c>
      <c r="M24" s="32" t="s">
        <v>6</v>
      </c>
      <c r="N24" s="34">
        <v>47</v>
      </c>
      <c r="O24" s="65">
        <v>1990</v>
      </c>
    </row>
    <row r="25" spans="1:15" s="24" customFormat="1" ht="39" customHeight="1" x14ac:dyDescent="0.3">
      <c r="A25" s="25"/>
      <c r="B25" s="52"/>
      <c r="C25" s="27"/>
      <c r="D25" s="27"/>
      <c r="E25" s="28"/>
      <c r="F25" s="29"/>
      <c r="G25" s="27"/>
      <c r="H25" s="30"/>
      <c r="I25" s="30"/>
      <c r="J25" s="30"/>
      <c r="K25" s="30"/>
      <c r="L25" s="31" t="s">
        <v>43</v>
      </c>
      <c r="M25" s="32" t="s">
        <v>6</v>
      </c>
      <c r="N25" s="33">
        <v>10</v>
      </c>
      <c r="O25" s="65">
        <v>1990</v>
      </c>
    </row>
    <row r="26" spans="1:15" s="24" customFormat="1" ht="39" customHeight="1" x14ac:dyDescent="0.3">
      <c r="A26" s="25"/>
      <c r="B26" s="52"/>
      <c r="C26" s="27"/>
      <c r="D26" s="27"/>
      <c r="E26" s="27"/>
      <c r="F26" s="29"/>
      <c r="G26" s="27"/>
      <c r="H26" s="30"/>
      <c r="I26" s="30"/>
      <c r="J26" s="30"/>
      <c r="K26" s="30"/>
      <c r="L26" s="31" t="s">
        <v>141</v>
      </c>
      <c r="M26" s="32" t="s">
        <v>19</v>
      </c>
      <c r="N26" s="34">
        <v>120</v>
      </c>
      <c r="O26" s="51"/>
    </row>
    <row r="27" spans="1:15" s="24" customFormat="1" ht="39" customHeight="1" x14ac:dyDescent="0.3">
      <c r="A27" s="19">
        <v>3</v>
      </c>
      <c r="B27" s="20" t="s">
        <v>44</v>
      </c>
      <c r="C27" s="21" t="s">
        <v>31</v>
      </c>
      <c r="D27" s="53"/>
      <c r="E27" s="53"/>
      <c r="F27" s="53"/>
      <c r="G27" s="23">
        <f>SUM(G28:G37)</f>
        <v>0</v>
      </c>
      <c r="H27" s="23">
        <f>SUM(H28:H37)</f>
        <v>0</v>
      </c>
      <c r="I27" s="23">
        <f>SUM(I28:I37)</f>
        <v>0</v>
      </c>
      <c r="J27" s="23">
        <f>SUM(J28:J37)</f>
        <v>0</v>
      </c>
      <c r="K27" s="23">
        <f>SUM(K28:K37)</f>
        <v>0</v>
      </c>
      <c r="L27" s="54"/>
      <c r="M27" s="55"/>
      <c r="N27" s="56"/>
      <c r="O27" s="49"/>
    </row>
    <row r="28" spans="1:15" s="24" customFormat="1" ht="39" customHeight="1" x14ac:dyDescent="0.3">
      <c r="A28" s="25"/>
      <c r="B28" s="52"/>
      <c r="C28" s="26"/>
      <c r="D28" s="29">
        <v>23</v>
      </c>
      <c r="E28" s="28">
        <v>8</v>
      </c>
      <c r="F28" s="29" t="s">
        <v>147</v>
      </c>
      <c r="G28" s="32">
        <v>0</v>
      </c>
      <c r="H28" s="32">
        <f>SUM(I28:J28)</f>
        <v>0</v>
      </c>
      <c r="I28" s="32">
        <v>0</v>
      </c>
      <c r="J28" s="32">
        <v>0</v>
      </c>
      <c r="K28" s="32">
        <f>G28-H28</f>
        <v>0</v>
      </c>
      <c r="L28" s="31" t="s">
        <v>28</v>
      </c>
      <c r="M28" s="32" t="s">
        <v>20</v>
      </c>
      <c r="N28" s="57">
        <f>11*1.9*0.1</f>
        <v>2.09</v>
      </c>
      <c r="O28" s="64">
        <v>2017</v>
      </c>
    </row>
    <row r="29" spans="1:15" s="24" customFormat="1" ht="39" customHeight="1" x14ac:dyDescent="0.3">
      <c r="A29" s="25"/>
      <c r="B29" s="52"/>
      <c r="C29" s="26"/>
      <c r="D29" s="32"/>
      <c r="E29" s="32"/>
      <c r="F29" s="32"/>
      <c r="G29" s="32"/>
      <c r="H29" s="32"/>
      <c r="I29" s="32"/>
      <c r="J29" s="32"/>
      <c r="K29" s="58"/>
      <c r="L29" s="31" t="s">
        <v>45</v>
      </c>
      <c r="M29" s="32" t="s">
        <v>6</v>
      </c>
      <c r="N29" s="57">
        <v>2</v>
      </c>
      <c r="O29" s="64">
        <v>2017</v>
      </c>
    </row>
    <row r="30" spans="1:15" s="24" customFormat="1" ht="39" customHeight="1" x14ac:dyDescent="0.3">
      <c r="A30" s="25"/>
      <c r="B30" s="52"/>
      <c r="C30" s="26"/>
      <c r="D30" s="32"/>
      <c r="E30" s="32"/>
      <c r="F30" s="32"/>
      <c r="G30" s="32"/>
      <c r="H30" s="32"/>
      <c r="I30" s="32"/>
      <c r="J30" s="32"/>
      <c r="K30" s="58"/>
      <c r="L30" s="31" t="s">
        <v>46</v>
      </c>
      <c r="M30" s="32" t="s">
        <v>19</v>
      </c>
      <c r="N30" s="59">
        <v>2</v>
      </c>
      <c r="O30" s="64">
        <v>2017</v>
      </c>
    </row>
    <row r="31" spans="1:15" s="24" customFormat="1" ht="39" customHeight="1" x14ac:dyDescent="0.3">
      <c r="A31" s="25"/>
      <c r="B31" s="52"/>
      <c r="C31" s="26"/>
      <c r="D31" s="32"/>
      <c r="E31" s="32"/>
      <c r="F31" s="32"/>
      <c r="G31" s="32"/>
      <c r="H31" s="32"/>
      <c r="I31" s="32"/>
      <c r="J31" s="32"/>
      <c r="K31" s="58"/>
      <c r="L31" s="31" t="s">
        <v>47</v>
      </c>
      <c r="M31" s="32" t="s">
        <v>6</v>
      </c>
      <c r="N31" s="57">
        <v>1</v>
      </c>
      <c r="O31" s="64">
        <v>2017</v>
      </c>
    </row>
    <row r="32" spans="1:15" s="24" customFormat="1" ht="39" customHeight="1" x14ac:dyDescent="0.3">
      <c r="A32" s="25"/>
      <c r="B32" s="52"/>
      <c r="C32" s="26"/>
      <c r="D32" s="32"/>
      <c r="E32" s="32"/>
      <c r="F32" s="32"/>
      <c r="G32" s="32"/>
      <c r="H32" s="32"/>
      <c r="I32" s="32"/>
      <c r="J32" s="32"/>
      <c r="K32" s="58"/>
      <c r="L32" s="31" t="s">
        <v>48</v>
      </c>
      <c r="M32" s="32" t="s">
        <v>6</v>
      </c>
      <c r="N32" s="57">
        <v>1</v>
      </c>
      <c r="O32" s="64">
        <v>2017</v>
      </c>
    </row>
    <row r="33" spans="1:15" s="24" customFormat="1" ht="39" customHeight="1" x14ac:dyDescent="0.3">
      <c r="A33" s="25"/>
      <c r="B33" s="52"/>
      <c r="C33" s="26"/>
      <c r="D33" s="32"/>
      <c r="E33" s="32"/>
      <c r="F33" s="32"/>
      <c r="G33" s="32"/>
      <c r="H33" s="32"/>
      <c r="I33" s="32"/>
      <c r="J33" s="32"/>
      <c r="K33" s="58"/>
      <c r="L33" s="31" t="s">
        <v>49</v>
      </c>
      <c r="M33" s="32" t="s">
        <v>6</v>
      </c>
      <c r="N33" s="57">
        <v>1</v>
      </c>
      <c r="O33" s="64">
        <v>2017</v>
      </c>
    </row>
    <row r="34" spans="1:15" s="24" customFormat="1" ht="39" customHeight="1" x14ac:dyDescent="0.3">
      <c r="A34" s="25"/>
      <c r="B34" s="52"/>
      <c r="C34" s="26"/>
      <c r="D34" s="32"/>
      <c r="E34" s="32"/>
      <c r="F34" s="32"/>
      <c r="G34" s="32"/>
      <c r="H34" s="32"/>
      <c r="I34" s="32"/>
      <c r="J34" s="32"/>
      <c r="K34" s="58"/>
      <c r="L34" s="31" t="s">
        <v>50</v>
      </c>
      <c r="M34" s="32" t="s">
        <v>6</v>
      </c>
      <c r="N34" s="57">
        <v>4</v>
      </c>
      <c r="O34" s="64">
        <v>2017</v>
      </c>
    </row>
    <row r="35" spans="1:15" s="24" customFormat="1" ht="39" customHeight="1" x14ac:dyDescent="0.3">
      <c r="A35" s="25"/>
      <c r="B35" s="52"/>
      <c r="C35" s="26"/>
      <c r="D35" s="32"/>
      <c r="E35" s="32"/>
      <c r="F35" s="32"/>
      <c r="G35" s="32"/>
      <c r="H35" s="32"/>
      <c r="I35" s="32"/>
      <c r="J35" s="32"/>
      <c r="K35" s="58"/>
      <c r="L35" s="31" t="s">
        <v>26</v>
      </c>
      <c r="M35" s="32" t="s">
        <v>51</v>
      </c>
      <c r="N35" s="57">
        <v>6</v>
      </c>
      <c r="O35" s="64">
        <v>2017</v>
      </c>
    </row>
    <row r="36" spans="1:15" s="24" customFormat="1" ht="39" customHeight="1" x14ac:dyDescent="0.3">
      <c r="A36" s="25"/>
      <c r="B36" s="52"/>
      <c r="C36" s="26"/>
      <c r="D36" s="32"/>
      <c r="E36" s="32"/>
      <c r="F36" s="32"/>
      <c r="G36" s="32"/>
      <c r="H36" s="32"/>
      <c r="I36" s="32"/>
      <c r="J36" s="32"/>
      <c r="K36" s="58"/>
      <c r="L36" s="31" t="s">
        <v>25</v>
      </c>
      <c r="M36" s="32" t="s">
        <v>6</v>
      </c>
      <c r="N36" s="57">
        <v>38</v>
      </c>
      <c r="O36" s="64">
        <v>2017</v>
      </c>
    </row>
    <row r="37" spans="1:15" s="24" customFormat="1" ht="39" customHeight="1" x14ac:dyDescent="0.3">
      <c r="A37" s="25"/>
      <c r="B37" s="52"/>
      <c r="C37" s="26"/>
      <c r="D37" s="32"/>
      <c r="E37" s="32"/>
      <c r="F37" s="32"/>
      <c r="G37" s="32"/>
      <c r="H37" s="32"/>
      <c r="I37" s="32"/>
      <c r="J37" s="32"/>
      <c r="K37" s="58"/>
      <c r="L37" s="31" t="s">
        <v>42</v>
      </c>
      <c r="M37" s="32" t="s">
        <v>6</v>
      </c>
      <c r="N37" s="57">
        <v>23</v>
      </c>
      <c r="O37" s="64">
        <v>2017</v>
      </c>
    </row>
    <row r="38" spans="1:15" s="24" customFormat="1" ht="39" customHeight="1" x14ac:dyDescent="0.3">
      <c r="A38" s="19">
        <v>4</v>
      </c>
      <c r="B38" s="20" t="s">
        <v>52</v>
      </c>
      <c r="C38" s="21" t="s">
        <v>31</v>
      </c>
      <c r="D38" s="53"/>
      <c r="E38" s="53"/>
      <c r="F38" s="53"/>
      <c r="G38" s="23">
        <f>SUM(G39:G45)</f>
        <v>339.4</v>
      </c>
      <c r="H38" s="23">
        <f>SUM(H39:H45)</f>
        <v>2.8</v>
      </c>
      <c r="I38" s="23">
        <f>SUM(I39:I45)</f>
        <v>2.8</v>
      </c>
      <c r="J38" s="23">
        <f>SUM(J39:J45)</f>
        <v>0</v>
      </c>
      <c r="K38" s="23">
        <f>SUM(K39:K45)</f>
        <v>336.59999999999997</v>
      </c>
      <c r="L38" s="54"/>
      <c r="M38" s="55"/>
      <c r="N38" s="56"/>
      <c r="O38" s="49"/>
    </row>
    <row r="39" spans="1:15" s="24" customFormat="1" ht="62.25" customHeight="1" x14ac:dyDescent="0.3">
      <c r="A39" s="25"/>
      <c r="B39" s="50"/>
      <c r="C39" s="26"/>
      <c r="D39" s="29">
        <v>204</v>
      </c>
      <c r="E39" s="28">
        <v>8</v>
      </c>
      <c r="F39" s="29" t="s">
        <v>23</v>
      </c>
      <c r="G39" s="32">
        <v>339.4</v>
      </c>
      <c r="H39" s="32">
        <f>SUM(I39:J39)</f>
        <v>2.8</v>
      </c>
      <c r="I39" s="32">
        <v>2.8</v>
      </c>
      <c r="J39" s="32">
        <v>0</v>
      </c>
      <c r="K39" s="32">
        <f>G39-H39</f>
        <v>336.59999999999997</v>
      </c>
      <c r="L39" s="31" t="s">
        <v>124</v>
      </c>
      <c r="M39" s="32" t="s">
        <v>19</v>
      </c>
      <c r="N39" s="57">
        <f>5*3</f>
        <v>15</v>
      </c>
      <c r="O39" s="64">
        <v>2012</v>
      </c>
    </row>
    <row r="40" spans="1:15" s="24" customFormat="1" ht="63.75" customHeight="1" x14ac:dyDescent="0.3">
      <c r="A40" s="25"/>
      <c r="B40" s="52"/>
      <c r="C40" s="26"/>
      <c r="D40" s="29"/>
      <c r="E40" s="28"/>
      <c r="F40" s="29"/>
      <c r="G40" s="32"/>
      <c r="H40" s="32"/>
      <c r="I40" s="32"/>
      <c r="J40" s="32"/>
      <c r="K40" s="32"/>
      <c r="L40" s="31" t="s">
        <v>124</v>
      </c>
      <c r="M40" s="32" t="s">
        <v>19</v>
      </c>
      <c r="N40" s="57">
        <f>4.2*3.5</f>
        <v>14.700000000000001</v>
      </c>
      <c r="O40" s="61">
        <v>2012</v>
      </c>
    </row>
    <row r="41" spans="1:15" s="24" customFormat="1" ht="39" customHeight="1" x14ac:dyDescent="0.3">
      <c r="A41" s="25"/>
      <c r="B41" s="52"/>
      <c r="C41" s="26"/>
      <c r="D41" s="32"/>
      <c r="E41" s="32"/>
      <c r="F41" s="32"/>
      <c r="G41" s="32"/>
      <c r="H41" s="32"/>
      <c r="I41" s="32"/>
      <c r="J41" s="32"/>
      <c r="K41" s="58"/>
      <c r="L41" s="31" t="s">
        <v>48</v>
      </c>
      <c r="M41" s="32" t="s">
        <v>6</v>
      </c>
      <c r="N41" s="59">
        <v>1</v>
      </c>
      <c r="O41" s="61">
        <v>2012</v>
      </c>
    </row>
    <row r="42" spans="1:15" s="24" customFormat="1" ht="39" customHeight="1" x14ac:dyDescent="0.3">
      <c r="A42" s="25"/>
      <c r="B42" s="52"/>
      <c r="C42" s="26"/>
      <c r="D42" s="32"/>
      <c r="E42" s="32"/>
      <c r="F42" s="32"/>
      <c r="G42" s="32"/>
      <c r="H42" s="32"/>
      <c r="I42" s="32"/>
      <c r="J42" s="32"/>
      <c r="K42" s="58"/>
      <c r="L42" s="31" t="s">
        <v>53</v>
      </c>
      <c r="M42" s="32" t="s">
        <v>6</v>
      </c>
      <c r="N42" s="57">
        <v>1</v>
      </c>
      <c r="O42" s="61">
        <v>2012</v>
      </c>
    </row>
    <row r="43" spans="1:15" s="24" customFormat="1" ht="39" customHeight="1" x14ac:dyDescent="0.3">
      <c r="A43" s="25"/>
      <c r="B43" s="52"/>
      <c r="C43" s="26"/>
      <c r="D43" s="32"/>
      <c r="E43" s="32"/>
      <c r="F43" s="32"/>
      <c r="G43" s="32"/>
      <c r="H43" s="32"/>
      <c r="I43" s="32"/>
      <c r="J43" s="32"/>
      <c r="K43" s="58"/>
      <c r="L43" s="31" t="s">
        <v>54</v>
      </c>
      <c r="M43" s="32" t="s">
        <v>6</v>
      </c>
      <c r="N43" s="57">
        <v>1</v>
      </c>
      <c r="O43" s="61">
        <v>2012</v>
      </c>
    </row>
    <row r="44" spans="1:15" s="24" customFormat="1" ht="39" customHeight="1" x14ac:dyDescent="0.3">
      <c r="A44" s="25"/>
      <c r="B44" s="52"/>
      <c r="C44" s="26"/>
      <c r="D44" s="32"/>
      <c r="E44" s="32"/>
      <c r="F44" s="32"/>
      <c r="G44" s="32"/>
      <c r="H44" s="32"/>
      <c r="I44" s="32"/>
      <c r="J44" s="32"/>
      <c r="K44" s="58"/>
      <c r="L44" s="31" t="s">
        <v>25</v>
      </c>
      <c r="M44" s="32" t="s">
        <v>6</v>
      </c>
      <c r="N44" s="57">
        <v>32</v>
      </c>
      <c r="O44" s="61">
        <v>2012</v>
      </c>
    </row>
    <row r="45" spans="1:15" s="24" customFormat="1" ht="39" customHeight="1" x14ac:dyDescent="0.3">
      <c r="A45" s="25"/>
      <c r="B45" s="52"/>
      <c r="C45" s="26"/>
      <c r="D45" s="32"/>
      <c r="E45" s="32"/>
      <c r="F45" s="32"/>
      <c r="G45" s="32"/>
      <c r="H45" s="32"/>
      <c r="I45" s="32"/>
      <c r="J45" s="32"/>
      <c r="K45" s="58"/>
      <c r="L45" s="31" t="s">
        <v>42</v>
      </c>
      <c r="M45" s="32" t="s">
        <v>6</v>
      </c>
      <c r="N45" s="57">
        <v>19</v>
      </c>
      <c r="O45" s="61">
        <v>2012</v>
      </c>
    </row>
    <row r="46" spans="1:15" s="24" customFormat="1" ht="39" customHeight="1" x14ac:dyDescent="0.3">
      <c r="A46" s="19">
        <v>5</v>
      </c>
      <c r="B46" s="20" t="s">
        <v>55</v>
      </c>
      <c r="C46" s="21" t="s">
        <v>31</v>
      </c>
      <c r="D46" s="53"/>
      <c r="E46" s="53"/>
      <c r="F46" s="53"/>
      <c r="G46" s="23">
        <f>SUM(G47:G56)</f>
        <v>305.5</v>
      </c>
      <c r="H46" s="23">
        <f>SUM(H47:H56)</f>
        <v>49.2</v>
      </c>
      <c r="I46" s="23">
        <f>SUM(I47:I56)</f>
        <v>49.2</v>
      </c>
      <c r="J46" s="23">
        <f>SUM(J47:J56)</f>
        <v>0</v>
      </c>
      <c r="K46" s="23">
        <f>SUM(K47:K56)</f>
        <v>256.3</v>
      </c>
      <c r="L46" s="54"/>
      <c r="M46" s="55"/>
      <c r="N46" s="56"/>
      <c r="O46" s="49"/>
    </row>
    <row r="47" spans="1:15" s="24" customFormat="1" ht="80.25" customHeight="1" x14ac:dyDescent="0.3">
      <c r="A47" s="25"/>
      <c r="B47" s="50" t="s">
        <v>149</v>
      </c>
      <c r="C47" s="26"/>
      <c r="D47" s="29">
        <v>229</v>
      </c>
      <c r="E47" s="28">
        <v>8</v>
      </c>
      <c r="F47" s="29" t="s">
        <v>56</v>
      </c>
      <c r="G47" s="32">
        <f>256.3+49.2</f>
        <v>305.5</v>
      </c>
      <c r="H47" s="32">
        <f>SUM(I47:J47)</f>
        <v>49.2</v>
      </c>
      <c r="I47" s="32">
        <v>49.2</v>
      </c>
      <c r="J47" s="32">
        <v>0</v>
      </c>
      <c r="K47" s="32">
        <f>G47-H47</f>
        <v>256.3</v>
      </c>
      <c r="L47" s="31" t="s">
        <v>125</v>
      </c>
      <c r="M47" s="32" t="s">
        <v>19</v>
      </c>
      <c r="N47" s="57">
        <f>5.6*5.4</f>
        <v>30.24</v>
      </c>
      <c r="O47" s="78">
        <v>2023</v>
      </c>
    </row>
    <row r="48" spans="1:15" s="24" customFormat="1" ht="54" customHeight="1" x14ac:dyDescent="0.3">
      <c r="A48" s="25"/>
      <c r="B48" s="52"/>
      <c r="C48" s="26"/>
      <c r="D48" s="29"/>
      <c r="E48" s="28"/>
      <c r="F48" s="29"/>
      <c r="G48" s="32"/>
      <c r="H48" s="32"/>
      <c r="I48" s="32"/>
      <c r="J48" s="32"/>
      <c r="K48" s="32"/>
      <c r="L48" s="31" t="s">
        <v>126</v>
      </c>
      <c r="M48" s="32" t="s">
        <v>19</v>
      </c>
      <c r="N48" s="57">
        <f>4.1*5.4</f>
        <v>22.14</v>
      </c>
      <c r="O48" s="79"/>
    </row>
    <row r="49" spans="1:15" s="24" customFormat="1" ht="39" customHeight="1" x14ac:dyDescent="0.3">
      <c r="A49" s="25"/>
      <c r="B49" s="52"/>
      <c r="C49" s="26"/>
      <c r="D49" s="32"/>
      <c r="E49" s="32"/>
      <c r="F49" s="32"/>
      <c r="G49" s="32"/>
      <c r="H49" s="32"/>
      <c r="I49" s="32"/>
      <c r="J49" s="32"/>
      <c r="K49" s="58"/>
      <c r="L49" s="31" t="s">
        <v>127</v>
      </c>
      <c r="M49" s="32" t="s">
        <v>19</v>
      </c>
      <c r="N49" s="59">
        <f>10*2</f>
        <v>20</v>
      </c>
      <c r="O49" s="79"/>
    </row>
    <row r="50" spans="1:15" s="24" customFormat="1" ht="39" customHeight="1" x14ac:dyDescent="0.3">
      <c r="A50" s="25"/>
      <c r="B50" s="52"/>
      <c r="C50" s="26"/>
      <c r="D50" s="32"/>
      <c r="E50" s="32"/>
      <c r="F50" s="32"/>
      <c r="G50" s="32"/>
      <c r="H50" s="32"/>
      <c r="I50" s="32"/>
      <c r="J50" s="32"/>
      <c r="K50" s="58"/>
      <c r="L50" s="31" t="s">
        <v>57</v>
      </c>
      <c r="M50" s="32" t="s">
        <v>19</v>
      </c>
      <c r="N50" s="57">
        <f>5.2*4.4</f>
        <v>22.880000000000003</v>
      </c>
      <c r="O50" s="79"/>
    </row>
    <row r="51" spans="1:15" s="24" customFormat="1" ht="61.5" customHeight="1" x14ac:dyDescent="0.3">
      <c r="A51" s="25"/>
      <c r="B51" s="52"/>
      <c r="C51" s="26"/>
      <c r="D51" s="32"/>
      <c r="E51" s="32"/>
      <c r="F51" s="32"/>
      <c r="G51" s="32"/>
      <c r="H51" s="32"/>
      <c r="I51" s="32"/>
      <c r="J51" s="32"/>
      <c r="K51" s="58"/>
      <c r="L51" s="31" t="s">
        <v>128</v>
      </c>
      <c r="M51" s="32" t="s">
        <v>19</v>
      </c>
      <c r="N51" s="57">
        <f>5.2*2.6</f>
        <v>13.520000000000001</v>
      </c>
      <c r="O51" s="66">
        <v>2015</v>
      </c>
    </row>
    <row r="52" spans="1:15" s="24" customFormat="1" ht="39" customHeight="1" x14ac:dyDescent="0.3">
      <c r="A52" s="25"/>
      <c r="B52" s="52"/>
      <c r="C52" s="26"/>
      <c r="D52" s="32"/>
      <c r="E52" s="32"/>
      <c r="F52" s="32"/>
      <c r="G52" s="32"/>
      <c r="H52" s="32"/>
      <c r="I52" s="32"/>
      <c r="J52" s="32"/>
      <c r="K52" s="58"/>
      <c r="L52" s="31" t="s">
        <v>58</v>
      </c>
      <c r="M52" s="32" t="s">
        <v>19</v>
      </c>
      <c r="N52" s="57">
        <f>4*1.8</f>
        <v>7.2</v>
      </c>
      <c r="O52" s="67">
        <v>2015</v>
      </c>
    </row>
    <row r="53" spans="1:15" s="24" customFormat="1" ht="39" customHeight="1" x14ac:dyDescent="0.3">
      <c r="A53" s="25"/>
      <c r="B53" s="52"/>
      <c r="C53" s="26"/>
      <c r="D53" s="32"/>
      <c r="E53" s="32"/>
      <c r="F53" s="32"/>
      <c r="G53" s="32"/>
      <c r="H53" s="32"/>
      <c r="I53" s="32"/>
      <c r="J53" s="32"/>
      <c r="K53" s="58"/>
      <c r="L53" s="31" t="s">
        <v>59</v>
      </c>
      <c r="M53" s="32" t="s">
        <v>6</v>
      </c>
      <c r="N53" s="57">
        <v>1</v>
      </c>
      <c r="O53" s="82">
        <v>2015</v>
      </c>
    </row>
    <row r="54" spans="1:15" s="24" customFormat="1" ht="39" customHeight="1" x14ac:dyDescent="0.3">
      <c r="A54" s="25"/>
      <c r="B54" s="52"/>
      <c r="C54" s="26"/>
      <c r="D54" s="32"/>
      <c r="E54" s="32"/>
      <c r="F54" s="32"/>
      <c r="G54" s="32"/>
      <c r="H54" s="32"/>
      <c r="I54" s="32"/>
      <c r="J54" s="32"/>
      <c r="K54" s="58"/>
      <c r="L54" s="31" t="s">
        <v>25</v>
      </c>
      <c r="M54" s="32" t="s">
        <v>6</v>
      </c>
      <c r="N54" s="57">
        <v>469</v>
      </c>
      <c r="O54" s="82"/>
    </row>
    <row r="55" spans="1:15" s="24" customFormat="1" ht="39" customHeight="1" x14ac:dyDescent="0.3">
      <c r="A55" s="25"/>
      <c r="B55" s="52"/>
      <c r="C55" s="26"/>
      <c r="D55" s="32"/>
      <c r="E55" s="32"/>
      <c r="F55" s="32"/>
      <c r="G55" s="32"/>
      <c r="H55" s="32"/>
      <c r="I55" s="32"/>
      <c r="J55" s="32"/>
      <c r="K55" s="58"/>
      <c r="L55" s="31" t="s">
        <v>42</v>
      </c>
      <c r="M55" s="32" t="s">
        <v>6</v>
      </c>
      <c r="N55" s="57">
        <v>79</v>
      </c>
      <c r="O55" s="82"/>
    </row>
    <row r="56" spans="1:15" s="24" customFormat="1" ht="39" customHeight="1" x14ac:dyDescent="0.3">
      <c r="A56" s="25"/>
      <c r="B56" s="52"/>
      <c r="C56" s="26"/>
      <c r="D56" s="32"/>
      <c r="E56" s="32"/>
      <c r="F56" s="32"/>
      <c r="G56" s="32"/>
      <c r="H56" s="32"/>
      <c r="I56" s="32"/>
      <c r="J56" s="32"/>
      <c r="K56" s="58"/>
      <c r="L56" s="31" t="s">
        <v>60</v>
      </c>
      <c r="M56" s="32" t="s">
        <v>6</v>
      </c>
      <c r="N56" s="57">
        <v>14</v>
      </c>
      <c r="O56" s="83"/>
    </row>
    <row r="57" spans="1:15" s="24" customFormat="1" ht="39" customHeight="1" x14ac:dyDescent="0.3">
      <c r="A57" s="19">
        <v>6</v>
      </c>
      <c r="B57" s="20" t="s">
        <v>61</v>
      </c>
      <c r="C57" s="21" t="s">
        <v>31</v>
      </c>
      <c r="D57" s="53"/>
      <c r="E57" s="53"/>
      <c r="F57" s="53"/>
      <c r="G57" s="23">
        <f>SUM(G58:G64)</f>
        <v>0</v>
      </c>
      <c r="H57" s="23">
        <f>SUM(H58:H64)</f>
        <v>0</v>
      </c>
      <c r="I57" s="23">
        <f>SUM(I58:I64)</f>
        <v>0</v>
      </c>
      <c r="J57" s="23">
        <f>SUM(J58:J64)</f>
        <v>0</v>
      </c>
      <c r="K57" s="23">
        <f>SUM(K58:K64)</f>
        <v>0</v>
      </c>
      <c r="L57" s="54"/>
      <c r="M57" s="55"/>
      <c r="N57" s="56"/>
      <c r="O57" s="49"/>
    </row>
    <row r="58" spans="1:15" s="24" customFormat="1" ht="39" customHeight="1" x14ac:dyDescent="0.3">
      <c r="A58" s="25"/>
      <c r="B58" s="52"/>
      <c r="C58" s="26"/>
      <c r="D58" s="29">
        <v>232</v>
      </c>
      <c r="E58" s="28">
        <v>8</v>
      </c>
      <c r="F58" s="29" t="s">
        <v>150</v>
      </c>
      <c r="G58" s="32">
        <v>0</v>
      </c>
      <c r="H58" s="32">
        <f>SUM(I58:J58)</f>
        <v>0</v>
      </c>
      <c r="I58" s="32">
        <v>0</v>
      </c>
      <c r="J58" s="32">
        <v>0</v>
      </c>
      <c r="K58" s="32">
        <f>G58-H58</f>
        <v>0</v>
      </c>
      <c r="L58" s="31" t="s">
        <v>62</v>
      </c>
      <c r="M58" s="32" t="s">
        <v>6</v>
      </c>
      <c r="N58" s="57">
        <v>3</v>
      </c>
      <c r="O58" s="65">
        <v>2015</v>
      </c>
    </row>
    <row r="59" spans="1:15" s="24" customFormat="1" ht="39" customHeight="1" x14ac:dyDescent="0.3">
      <c r="A59" s="25"/>
      <c r="B59" s="52"/>
      <c r="C59" s="26"/>
      <c r="D59" s="32"/>
      <c r="E59" s="32"/>
      <c r="F59" s="32"/>
      <c r="G59" s="32"/>
      <c r="H59" s="32"/>
      <c r="I59" s="32"/>
      <c r="J59" s="32"/>
      <c r="K59" s="58"/>
      <c r="L59" s="31" t="s">
        <v>63</v>
      </c>
      <c r="M59" s="32" t="s">
        <v>6</v>
      </c>
      <c r="N59" s="57">
        <v>3</v>
      </c>
      <c r="O59" s="65">
        <v>2020</v>
      </c>
    </row>
    <row r="60" spans="1:15" s="24" customFormat="1" ht="39" customHeight="1" x14ac:dyDescent="0.3">
      <c r="A60" s="25"/>
      <c r="B60" s="52"/>
      <c r="C60" s="26"/>
      <c r="D60" s="32"/>
      <c r="E60" s="32"/>
      <c r="F60" s="32"/>
      <c r="G60" s="32"/>
      <c r="H60" s="32"/>
      <c r="I60" s="32"/>
      <c r="J60" s="32"/>
      <c r="K60" s="58"/>
      <c r="L60" s="31" t="s">
        <v>64</v>
      </c>
      <c r="M60" s="32" t="s">
        <v>6</v>
      </c>
      <c r="N60" s="59">
        <v>3</v>
      </c>
      <c r="O60" s="65">
        <v>2020</v>
      </c>
    </row>
    <row r="61" spans="1:15" s="24" customFormat="1" ht="39" customHeight="1" x14ac:dyDescent="0.3">
      <c r="A61" s="25"/>
      <c r="B61" s="52"/>
      <c r="C61" s="26"/>
      <c r="D61" s="32"/>
      <c r="E61" s="32"/>
      <c r="F61" s="32"/>
      <c r="G61" s="32"/>
      <c r="H61" s="32"/>
      <c r="I61" s="32"/>
      <c r="J61" s="32"/>
      <c r="K61" s="58"/>
      <c r="L61" s="31" t="s">
        <v>65</v>
      </c>
      <c r="M61" s="32" t="s">
        <v>6</v>
      </c>
      <c r="N61" s="57">
        <v>1</v>
      </c>
      <c r="O61" s="51"/>
    </row>
    <row r="62" spans="1:15" s="24" customFormat="1" ht="39" customHeight="1" x14ac:dyDescent="0.3">
      <c r="A62" s="25"/>
      <c r="B62" s="52"/>
      <c r="C62" s="26"/>
      <c r="D62" s="32"/>
      <c r="E62" s="32"/>
      <c r="F62" s="32"/>
      <c r="G62" s="32"/>
      <c r="H62" s="32"/>
      <c r="I62" s="32"/>
      <c r="J62" s="32"/>
      <c r="K62" s="58"/>
      <c r="L62" s="31" t="s">
        <v>66</v>
      </c>
      <c r="M62" s="32" t="s">
        <v>6</v>
      </c>
      <c r="N62" s="57">
        <v>2</v>
      </c>
      <c r="O62" s="51"/>
    </row>
    <row r="63" spans="1:15" s="24" customFormat="1" ht="39" customHeight="1" x14ac:dyDescent="0.3">
      <c r="A63" s="25"/>
      <c r="B63" s="52"/>
      <c r="C63" s="26"/>
      <c r="D63" s="32"/>
      <c r="E63" s="32"/>
      <c r="F63" s="32"/>
      <c r="G63" s="32"/>
      <c r="H63" s="32"/>
      <c r="I63" s="32"/>
      <c r="J63" s="32"/>
      <c r="K63" s="58"/>
      <c r="L63" s="31" t="s">
        <v>25</v>
      </c>
      <c r="M63" s="32" t="s">
        <v>6</v>
      </c>
      <c r="N63" s="57">
        <v>36</v>
      </c>
      <c r="O63" s="68" t="s">
        <v>164</v>
      </c>
    </row>
    <row r="64" spans="1:15" s="24" customFormat="1" ht="39" customHeight="1" x14ac:dyDescent="0.3">
      <c r="A64" s="25"/>
      <c r="B64" s="52"/>
      <c r="C64" s="26"/>
      <c r="D64" s="32"/>
      <c r="E64" s="32"/>
      <c r="F64" s="32"/>
      <c r="G64" s="32"/>
      <c r="H64" s="32"/>
      <c r="I64" s="32"/>
      <c r="J64" s="32"/>
      <c r="K64" s="58"/>
      <c r="L64" s="31" t="s">
        <v>42</v>
      </c>
      <c r="M64" s="32" t="s">
        <v>6</v>
      </c>
      <c r="N64" s="57">
        <v>15</v>
      </c>
      <c r="O64" s="69" t="s">
        <v>164</v>
      </c>
    </row>
    <row r="65" spans="1:15" s="24" customFormat="1" ht="39" customHeight="1" x14ac:dyDescent="0.3">
      <c r="A65" s="19">
        <v>7</v>
      </c>
      <c r="B65" s="20" t="s">
        <v>67</v>
      </c>
      <c r="C65" s="21" t="s">
        <v>31</v>
      </c>
      <c r="D65" s="53"/>
      <c r="E65" s="53"/>
      <c r="F65" s="53"/>
      <c r="G65" s="23">
        <f>SUM(G66:G74)</f>
        <v>574.4</v>
      </c>
      <c r="H65" s="23">
        <f>SUM(H66:H74)</f>
        <v>105.5</v>
      </c>
      <c r="I65" s="23">
        <f>SUM(I66:I74)</f>
        <v>105.5</v>
      </c>
      <c r="J65" s="23">
        <f>SUM(J66:J74)</f>
        <v>0</v>
      </c>
      <c r="K65" s="23">
        <f>SUM(K66:K74)</f>
        <v>537.79999999999995</v>
      </c>
      <c r="L65" s="54"/>
      <c r="M65" s="55"/>
      <c r="N65" s="56"/>
      <c r="O65" s="70"/>
    </row>
    <row r="66" spans="1:15" s="24" customFormat="1" ht="80.25" customHeight="1" x14ac:dyDescent="0.3">
      <c r="A66" s="25"/>
      <c r="B66" s="50" t="s">
        <v>151</v>
      </c>
      <c r="C66" s="26"/>
      <c r="D66" s="29">
        <v>242</v>
      </c>
      <c r="E66" s="28">
        <v>8</v>
      </c>
      <c r="F66" s="29" t="s">
        <v>56</v>
      </c>
      <c r="G66" s="80">
        <v>574.4</v>
      </c>
      <c r="H66" s="32">
        <f>I66</f>
        <v>36.599999999999994</v>
      </c>
      <c r="I66" s="32">
        <f>19.7+16.9</f>
        <v>36.599999999999994</v>
      </c>
      <c r="J66" s="32">
        <v>0</v>
      </c>
      <c r="K66" s="80">
        <f>G66-H66-H68</f>
        <v>537.79999999999995</v>
      </c>
      <c r="L66" s="31" t="s">
        <v>129</v>
      </c>
      <c r="M66" s="32" t="s">
        <v>19</v>
      </c>
      <c r="N66" s="59">
        <f>10.4*4.7</f>
        <v>48.88</v>
      </c>
      <c r="O66" s="69" t="s">
        <v>162</v>
      </c>
    </row>
    <row r="67" spans="1:15" s="24" customFormat="1" ht="50.25" customHeight="1" x14ac:dyDescent="0.3">
      <c r="A67" s="25"/>
      <c r="B67" s="50"/>
      <c r="C67" s="26"/>
      <c r="D67" s="29"/>
      <c r="E67" s="28"/>
      <c r="F67" s="29" t="s">
        <v>5</v>
      </c>
      <c r="G67" s="81"/>
      <c r="H67" s="32">
        <f>I67</f>
        <v>68.900000000000006</v>
      </c>
      <c r="I67" s="32">
        <v>68.900000000000006</v>
      </c>
      <c r="J67" s="32">
        <v>0</v>
      </c>
      <c r="K67" s="81"/>
      <c r="L67" s="31" t="s">
        <v>69</v>
      </c>
      <c r="M67" s="32" t="s">
        <v>6</v>
      </c>
      <c r="N67" s="57">
        <v>2</v>
      </c>
      <c r="O67" s="69" t="s">
        <v>162</v>
      </c>
    </row>
    <row r="68" spans="1:15" s="24" customFormat="1" ht="39" customHeight="1" x14ac:dyDescent="0.3">
      <c r="A68" s="25"/>
      <c r="B68" s="52"/>
      <c r="C68" s="26"/>
      <c r="D68" s="29"/>
      <c r="E68" s="28"/>
      <c r="F68" s="29"/>
      <c r="G68" s="60"/>
      <c r="H68" s="32"/>
      <c r="I68" s="32"/>
      <c r="J68" s="32"/>
      <c r="K68" s="60"/>
      <c r="L68" s="31" t="s">
        <v>70</v>
      </c>
      <c r="M68" s="32" t="s">
        <v>19</v>
      </c>
      <c r="N68" s="59">
        <v>2</v>
      </c>
      <c r="O68" s="69" t="s">
        <v>162</v>
      </c>
    </row>
    <row r="69" spans="1:15" s="24" customFormat="1" ht="39" customHeight="1" x14ac:dyDescent="0.3">
      <c r="A69" s="25"/>
      <c r="B69" s="52"/>
      <c r="C69" s="26"/>
      <c r="D69" s="29"/>
      <c r="E69" s="28"/>
      <c r="F69" s="29"/>
      <c r="G69" s="61"/>
      <c r="H69" s="32"/>
      <c r="I69" s="32"/>
      <c r="J69" s="32"/>
      <c r="K69" s="61"/>
      <c r="L69" s="31" t="s">
        <v>71</v>
      </c>
      <c r="M69" s="32" t="s">
        <v>6</v>
      </c>
      <c r="N69" s="57">
        <v>4</v>
      </c>
      <c r="O69" s="69" t="s">
        <v>162</v>
      </c>
    </row>
    <row r="70" spans="1:15" s="24" customFormat="1" ht="39" customHeight="1" x14ac:dyDescent="0.3">
      <c r="A70" s="25"/>
      <c r="B70" s="52"/>
      <c r="C70" s="26"/>
      <c r="D70" s="32"/>
      <c r="E70" s="32"/>
      <c r="F70" s="32"/>
      <c r="G70" s="32"/>
      <c r="H70" s="32"/>
      <c r="I70" s="32"/>
      <c r="J70" s="32"/>
      <c r="K70" s="58"/>
      <c r="L70" s="31" t="s">
        <v>72</v>
      </c>
      <c r="M70" s="32" t="s">
        <v>6</v>
      </c>
      <c r="N70" s="57">
        <v>1</v>
      </c>
      <c r="O70" s="69" t="s">
        <v>162</v>
      </c>
    </row>
    <row r="71" spans="1:15" s="24" customFormat="1" ht="39" customHeight="1" x14ac:dyDescent="0.3">
      <c r="A71" s="25"/>
      <c r="B71" s="52"/>
      <c r="C71" s="26"/>
      <c r="D71" s="32"/>
      <c r="E71" s="32"/>
      <c r="F71" s="32"/>
      <c r="G71" s="32"/>
      <c r="H71" s="32"/>
      <c r="I71" s="32"/>
      <c r="J71" s="32"/>
      <c r="K71" s="58"/>
      <c r="L71" s="31" t="s">
        <v>22</v>
      </c>
      <c r="M71" s="32" t="s">
        <v>6</v>
      </c>
      <c r="N71" s="57">
        <v>1</v>
      </c>
      <c r="O71" s="69" t="s">
        <v>162</v>
      </c>
    </row>
    <row r="72" spans="1:15" s="24" customFormat="1" ht="39" customHeight="1" x14ac:dyDescent="0.3">
      <c r="A72" s="25"/>
      <c r="B72" s="52"/>
      <c r="C72" s="26"/>
      <c r="D72" s="32"/>
      <c r="E72" s="32"/>
      <c r="F72" s="32"/>
      <c r="G72" s="32"/>
      <c r="H72" s="32"/>
      <c r="I72" s="32"/>
      <c r="J72" s="32"/>
      <c r="K72" s="58"/>
      <c r="L72" s="31" t="s">
        <v>25</v>
      </c>
      <c r="M72" s="32" t="s">
        <v>6</v>
      </c>
      <c r="N72" s="57">
        <v>22</v>
      </c>
      <c r="O72" s="69" t="s">
        <v>162</v>
      </c>
    </row>
    <row r="73" spans="1:15" s="24" customFormat="1" ht="39" customHeight="1" x14ac:dyDescent="0.3">
      <c r="A73" s="25"/>
      <c r="B73" s="52"/>
      <c r="C73" s="26"/>
      <c r="D73" s="32">
        <v>23</v>
      </c>
      <c r="E73" s="32">
        <v>8</v>
      </c>
      <c r="F73" s="32" t="s">
        <v>154</v>
      </c>
      <c r="G73" s="32">
        <v>0</v>
      </c>
      <c r="H73" s="32">
        <f>SUM(I73:J73)</f>
        <v>0</v>
      </c>
      <c r="I73" s="32">
        <v>0</v>
      </c>
      <c r="J73" s="32">
        <v>0</v>
      </c>
      <c r="K73" s="32">
        <f>G73-H73</f>
        <v>0</v>
      </c>
      <c r="L73" s="31" t="s">
        <v>152</v>
      </c>
      <c r="M73" s="32" t="s">
        <v>153</v>
      </c>
      <c r="N73" s="57">
        <f>22.5*2.1</f>
        <v>47.25</v>
      </c>
      <c r="O73" s="65" t="s">
        <v>162</v>
      </c>
    </row>
    <row r="74" spans="1:15" s="24" customFormat="1" ht="34.5" customHeight="1" x14ac:dyDescent="0.3">
      <c r="A74" s="25"/>
      <c r="B74" s="52"/>
      <c r="C74" s="26"/>
      <c r="D74" s="32"/>
      <c r="E74" s="32"/>
      <c r="F74" s="32"/>
      <c r="G74" s="32"/>
      <c r="H74" s="32"/>
      <c r="I74" s="32"/>
      <c r="J74" s="32"/>
      <c r="K74" s="58"/>
      <c r="L74" s="31" t="s">
        <v>68</v>
      </c>
      <c r="M74" s="32" t="s">
        <v>19</v>
      </c>
      <c r="N74" s="57">
        <f>1.9*1.4</f>
        <v>2.6599999999999997</v>
      </c>
      <c r="O74" s="65" t="s">
        <v>162</v>
      </c>
    </row>
    <row r="75" spans="1:15" s="24" customFormat="1" ht="39" customHeight="1" x14ac:dyDescent="0.3">
      <c r="A75" s="19">
        <v>8</v>
      </c>
      <c r="B75" s="20" t="s">
        <v>73</v>
      </c>
      <c r="C75" s="21" t="s">
        <v>31</v>
      </c>
      <c r="D75" s="53"/>
      <c r="E75" s="53"/>
      <c r="F75" s="53"/>
      <c r="G75" s="23">
        <f>SUM(G76:G78)</f>
        <v>0</v>
      </c>
      <c r="H75" s="23">
        <f>SUM(H76:H78)</f>
        <v>0</v>
      </c>
      <c r="I75" s="23">
        <f>SUM(I76:I78)</f>
        <v>0</v>
      </c>
      <c r="J75" s="23">
        <f>SUM(J76:J78)</f>
        <v>0</v>
      </c>
      <c r="K75" s="23">
        <f>SUM(K76:K78)</f>
        <v>0</v>
      </c>
      <c r="L75" s="54"/>
      <c r="M75" s="55"/>
      <c r="N75" s="56"/>
      <c r="O75" s="49"/>
    </row>
    <row r="76" spans="1:15" s="24" customFormat="1" ht="39" customHeight="1" x14ac:dyDescent="0.3">
      <c r="A76" s="25"/>
      <c r="B76" s="52"/>
      <c r="C76" s="26"/>
      <c r="D76" s="29">
        <v>23</v>
      </c>
      <c r="E76" s="28">
        <v>8</v>
      </c>
      <c r="F76" s="29" t="s">
        <v>147</v>
      </c>
      <c r="G76" s="32">
        <v>0</v>
      </c>
      <c r="H76" s="32">
        <f>SUM(I76:J76)</f>
        <v>0</v>
      </c>
      <c r="I76" s="32">
        <v>0</v>
      </c>
      <c r="J76" s="32">
        <v>0</v>
      </c>
      <c r="K76" s="32">
        <f>G76-H76</f>
        <v>0</v>
      </c>
      <c r="L76" s="31" t="s">
        <v>24</v>
      </c>
      <c r="M76" s="32" t="s">
        <v>6</v>
      </c>
      <c r="N76" s="57">
        <v>1</v>
      </c>
      <c r="O76" s="69" t="s">
        <v>162</v>
      </c>
    </row>
    <row r="77" spans="1:15" s="24" customFormat="1" ht="39" customHeight="1" x14ac:dyDescent="0.3">
      <c r="A77" s="25"/>
      <c r="B77" s="52"/>
      <c r="C77" s="26"/>
      <c r="D77" s="32"/>
      <c r="E77" s="32"/>
      <c r="F77" s="32"/>
      <c r="G77" s="32"/>
      <c r="H77" s="32"/>
      <c r="I77" s="32"/>
      <c r="J77" s="32"/>
      <c r="K77" s="58"/>
      <c r="L77" s="31" t="s">
        <v>25</v>
      </c>
      <c r="M77" s="32" t="s">
        <v>6</v>
      </c>
      <c r="N77" s="57">
        <v>130</v>
      </c>
      <c r="O77" s="69" t="s">
        <v>162</v>
      </c>
    </row>
    <row r="78" spans="1:15" s="24" customFormat="1" ht="39" customHeight="1" x14ac:dyDescent="0.3">
      <c r="A78" s="25"/>
      <c r="B78" s="52"/>
      <c r="C78" s="26"/>
      <c r="D78" s="32"/>
      <c r="E78" s="32"/>
      <c r="F78" s="32"/>
      <c r="G78" s="32"/>
      <c r="H78" s="32"/>
      <c r="I78" s="32"/>
      <c r="J78" s="32"/>
      <c r="K78" s="58"/>
      <c r="L78" s="31" t="s">
        <v>42</v>
      </c>
      <c r="M78" s="32" t="s">
        <v>6</v>
      </c>
      <c r="N78" s="59">
        <v>75</v>
      </c>
      <c r="O78" s="69" t="s">
        <v>162</v>
      </c>
    </row>
    <row r="79" spans="1:15" s="24" customFormat="1" ht="39" customHeight="1" x14ac:dyDescent="0.3">
      <c r="A79" s="19">
        <v>9</v>
      </c>
      <c r="B79" s="20" t="s">
        <v>74</v>
      </c>
      <c r="C79" s="21" t="s">
        <v>31</v>
      </c>
      <c r="D79" s="53"/>
      <c r="E79" s="53"/>
      <c r="F79" s="53"/>
      <c r="G79" s="23">
        <f>SUM(G80:G90)</f>
        <v>110.7</v>
      </c>
      <c r="H79" s="23">
        <f>SUM(H80:H90)</f>
        <v>33.700000000000003</v>
      </c>
      <c r="I79" s="23">
        <f>SUM(I80:I90)</f>
        <v>33.700000000000003</v>
      </c>
      <c r="J79" s="23">
        <f>SUM(J80:J90)</f>
        <v>0</v>
      </c>
      <c r="K79" s="23">
        <f>SUM(K80:K90)</f>
        <v>77</v>
      </c>
      <c r="L79" s="54"/>
      <c r="M79" s="55"/>
      <c r="N79" s="56"/>
      <c r="O79" s="49"/>
    </row>
    <row r="80" spans="1:15" s="24" customFormat="1" ht="81.75" customHeight="1" x14ac:dyDescent="0.3">
      <c r="A80" s="25"/>
      <c r="B80" s="52"/>
      <c r="C80" s="26"/>
      <c r="D80" s="29">
        <v>300</v>
      </c>
      <c r="E80" s="28">
        <v>8</v>
      </c>
      <c r="F80" s="29" t="s">
        <v>56</v>
      </c>
      <c r="G80" s="32">
        <v>110.7</v>
      </c>
      <c r="H80" s="32">
        <f>SUM(I80:J80)</f>
        <v>33.700000000000003</v>
      </c>
      <c r="I80" s="32">
        <v>33.700000000000003</v>
      </c>
      <c r="J80" s="32">
        <v>0</v>
      </c>
      <c r="K80" s="32">
        <f>G80-H80</f>
        <v>77</v>
      </c>
      <c r="L80" s="31" t="s">
        <v>130</v>
      </c>
      <c r="M80" s="32" t="s">
        <v>19</v>
      </c>
      <c r="N80" s="57">
        <f>12*3.8</f>
        <v>45.599999999999994</v>
      </c>
      <c r="O80" s="65">
        <v>2020</v>
      </c>
    </row>
    <row r="81" spans="1:15" s="24" customFormat="1" ht="39" customHeight="1" x14ac:dyDescent="0.3">
      <c r="A81" s="25"/>
      <c r="B81" s="52"/>
      <c r="C81" s="26"/>
      <c r="D81" s="29"/>
      <c r="E81" s="28"/>
      <c r="F81" s="29"/>
      <c r="G81" s="32"/>
      <c r="H81" s="32"/>
      <c r="I81" s="32"/>
      <c r="J81" s="32"/>
      <c r="K81" s="32"/>
      <c r="L81" s="31" t="s">
        <v>75</v>
      </c>
      <c r="M81" s="32" t="s">
        <v>6</v>
      </c>
      <c r="N81" s="57">
        <v>4</v>
      </c>
      <c r="O81" s="65">
        <v>2020</v>
      </c>
    </row>
    <row r="82" spans="1:15" s="24" customFormat="1" ht="39" customHeight="1" x14ac:dyDescent="0.3">
      <c r="A82" s="25"/>
      <c r="B82" s="52"/>
      <c r="C82" s="26"/>
      <c r="D82" s="32"/>
      <c r="E82" s="32"/>
      <c r="F82" s="32"/>
      <c r="G82" s="32"/>
      <c r="H82" s="32"/>
      <c r="I82" s="32"/>
      <c r="J82" s="32"/>
      <c r="K82" s="58"/>
      <c r="L82" s="31" t="s">
        <v>76</v>
      </c>
      <c r="M82" s="32" t="s">
        <v>6</v>
      </c>
      <c r="N82" s="59">
        <v>2</v>
      </c>
      <c r="O82" s="65">
        <v>2020</v>
      </c>
    </row>
    <row r="83" spans="1:15" s="24" customFormat="1" ht="39" customHeight="1" x14ac:dyDescent="0.3">
      <c r="A83" s="25"/>
      <c r="B83" s="52"/>
      <c r="C83" s="26"/>
      <c r="D83" s="32"/>
      <c r="E83" s="32"/>
      <c r="F83" s="32"/>
      <c r="G83" s="32"/>
      <c r="H83" s="32"/>
      <c r="I83" s="32"/>
      <c r="J83" s="32"/>
      <c r="K83" s="58"/>
      <c r="L83" s="31" t="s">
        <v>77</v>
      </c>
      <c r="M83" s="32" t="s">
        <v>6</v>
      </c>
      <c r="N83" s="57">
        <v>1</v>
      </c>
      <c r="O83" s="65">
        <v>2020</v>
      </c>
    </row>
    <row r="84" spans="1:15" s="24" customFormat="1" ht="39" customHeight="1" x14ac:dyDescent="0.3">
      <c r="A84" s="25"/>
      <c r="B84" s="52"/>
      <c r="C84" s="26"/>
      <c r="D84" s="32"/>
      <c r="E84" s="32"/>
      <c r="F84" s="32"/>
      <c r="G84" s="32"/>
      <c r="H84" s="32"/>
      <c r="I84" s="32"/>
      <c r="J84" s="32"/>
      <c r="K84" s="58"/>
      <c r="L84" s="31" t="s">
        <v>78</v>
      </c>
      <c r="M84" s="32" t="s">
        <v>6</v>
      </c>
      <c r="N84" s="57">
        <v>1</v>
      </c>
      <c r="O84" s="65">
        <v>2020</v>
      </c>
    </row>
    <row r="85" spans="1:15" s="24" customFormat="1" ht="39" customHeight="1" x14ac:dyDescent="0.3">
      <c r="A85" s="25"/>
      <c r="B85" s="52"/>
      <c r="C85" s="26"/>
      <c r="D85" s="32"/>
      <c r="E85" s="32"/>
      <c r="F85" s="32"/>
      <c r="G85" s="32"/>
      <c r="H85" s="32"/>
      <c r="I85" s="32"/>
      <c r="J85" s="32"/>
      <c r="K85" s="58"/>
      <c r="L85" s="31" t="s">
        <v>79</v>
      </c>
      <c r="M85" s="32" t="s">
        <v>6</v>
      </c>
      <c r="N85" s="57">
        <v>1</v>
      </c>
      <c r="O85" s="65">
        <v>2020</v>
      </c>
    </row>
    <row r="86" spans="1:15" s="24" customFormat="1" ht="39" customHeight="1" x14ac:dyDescent="0.3">
      <c r="A86" s="25"/>
      <c r="B86" s="52"/>
      <c r="C86" s="26"/>
      <c r="D86" s="32"/>
      <c r="E86" s="32"/>
      <c r="F86" s="32"/>
      <c r="G86" s="32"/>
      <c r="H86" s="32"/>
      <c r="I86" s="32"/>
      <c r="J86" s="32"/>
      <c r="K86" s="58"/>
      <c r="L86" s="31" t="s">
        <v>80</v>
      </c>
      <c r="M86" s="32" t="s">
        <v>6</v>
      </c>
      <c r="N86" s="57">
        <v>1</v>
      </c>
      <c r="O86" s="65">
        <v>2020</v>
      </c>
    </row>
    <row r="87" spans="1:15" s="24" customFormat="1" ht="39" customHeight="1" x14ac:dyDescent="0.3">
      <c r="A87" s="25"/>
      <c r="B87" s="52"/>
      <c r="C87" s="26"/>
      <c r="D87" s="32"/>
      <c r="E87" s="32"/>
      <c r="F87" s="32"/>
      <c r="G87" s="32"/>
      <c r="H87" s="32"/>
      <c r="I87" s="32"/>
      <c r="J87" s="32"/>
      <c r="K87" s="58"/>
      <c r="L87" s="31" t="s">
        <v>81</v>
      </c>
      <c r="M87" s="32" t="s">
        <v>6</v>
      </c>
      <c r="N87" s="57">
        <v>2</v>
      </c>
      <c r="O87" s="65">
        <v>2020</v>
      </c>
    </row>
    <row r="88" spans="1:15" s="24" customFormat="1" ht="39" customHeight="1" x14ac:dyDescent="0.3">
      <c r="A88" s="25"/>
      <c r="B88" s="52"/>
      <c r="C88" s="26"/>
      <c r="D88" s="32"/>
      <c r="E88" s="32"/>
      <c r="F88" s="32"/>
      <c r="G88" s="32"/>
      <c r="H88" s="32"/>
      <c r="I88" s="32"/>
      <c r="J88" s="32"/>
      <c r="K88" s="58"/>
      <c r="L88" s="31" t="s">
        <v>82</v>
      </c>
      <c r="M88" s="32" t="s">
        <v>6</v>
      </c>
      <c r="N88" s="57">
        <v>1</v>
      </c>
      <c r="O88" s="65">
        <v>2020</v>
      </c>
    </row>
    <row r="89" spans="1:15" s="24" customFormat="1" ht="90" customHeight="1" x14ac:dyDescent="0.3">
      <c r="A89" s="25"/>
      <c r="B89" s="52"/>
      <c r="C89" s="26"/>
      <c r="D89" s="32"/>
      <c r="E89" s="32"/>
      <c r="F89" s="32"/>
      <c r="G89" s="32"/>
      <c r="H89" s="32"/>
      <c r="I89" s="32"/>
      <c r="J89" s="32"/>
      <c r="K89" s="58"/>
      <c r="L89" s="31" t="s">
        <v>131</v>
      </c>
      <c r="M89" s="32" t="s">
        <v>19</v>
      </c>
      <c r="N89" s="57">
        <v>33.700000000000003</v>
      </c>
      <c r="O89" s="65">
        <v>2020</v>
      </c>
    </row>
    <row r="90" spans="1:15" s="24" customFormat="1" ht="86.25" customHeight="1" x14ac:dyDescent="0.3">
      <c r="A90" s="25"/>
      <c r="B90" s="52"/>
      <c r="C90" s="26"/>
      <c r="D90" s="32"/>
      <c r="E90" s="32"/>
      <c r="F90" s="32"/>
      <c r="G90" s="32"/>
      <c r="H90" s="32"/>
      <c r="I90" s="32"/>
      <c r="J90" s="32"/>
      <c r="K90" s="58"/>
      <c r="L90" s="31" t="s">
        <v>131</v>
      </c>
      <c r="M90" s="32" t="s">
        <v>19</v>
      </c>
      <c r="N90" s="57">
        <f>15*10.4-33.7</f>
        <v>122.3</v>
      </c>
      <c r="O90" s="65">
        <v>2020</v>
      </c>
    </row>
    <row r="91" spans="1:15" s="24" customFormat="1" ht="39" customHeight="1" x14ac:dyDescent="0.3">
      <c r="A91" s="19">
        <v>10</v>
      </c>
      <c r="B91" s="20" t="s">
        <v>83</v>
      </c>
      <c r="C91" s="21" t="s">
        <v>31</v>
      </c>
      <c r="D91" s="53"/>
      <c r="E91" s="53"/>
      <c r="F91" s="53"/>
      <c r="G91" s="23">
        <f>SUM(G92:G101)</f>
        <v>325.8</v>
      </c>
      <c r="H91" s="23">
        <f>SUM(H92:H101)</f>
        <v>9.3000000000000007</v>
      </c>
      <c r="I91" s="23">
        <f>SUM(I92:I101)</f>
        <v>0</v>
      </c>
      <c r="J91" s="23">
        <f>SUM(J92:J101)</f>
        <v>0</v>
      </c>
      <c r="K91" s="23">
        <f>SUM(K92:K101)</f>
        <v>0</v>
      </c>
      <c r="L91" s="54"/>
      <c r="M91" s="55"/>
      <c r="N91" s="56"/>
      <c r="O91" s="49"/>
    </row>
    <row r="92" spans="1:15" s="24" customFormat="1" ht="39" customHeight="1" x14ac:dyDescent="0.3">
      <c r="A92" s="25"/>
      <c r="B92" s="52"/>
      <c r="C92" s="26"/>
      <c r="D92" s="29">
        <v>23</v>
      </c>
      <c r="E92" s="28">
        <v>8</v>
      </c>
      <c r="F92" s="29" t="s">
        <v>147</v>
      </c>
      <c r="G92" s="32"/>
      <c r="H92" s="32"/>
      <c r="I92" s="32"/>
      <c r="J92" s="32"/>
      <c r="K92" s="32"/>
      <c r="L92" s="31" t="s">
        <v>50</v>
      </c>
      <c r="M92" s="32" t="s">
        <v>6</v>
      </c>
      <c r="N92" s="57">
        <v>1</v>
      </c>
      <c r="O92" s="65">
        <v>2017</v>
      </c>
    </row>
    <row r="93" spans="1:15" s="24" customFormat="1" ht="39" customHeight="1" x14ac:dyDescent="0.3">
      <c r="A93" s="25"/>
      <c r="B93" s="52"/>
      <c r="C93" s="26"/>
      <c r="D93" s="32"/>
      <c r="E93" s="32"/>
      <c r="F93" s="32"/>
      <c r="G93" s="32"/>
      <c r="H93" s="32"/>
      <c r="I93" s="32"/>
      <c r="J93" s="32"/>
      <c r="K93" s="58"/>
      <c r="L93" s="31" t="s">
        <v>84</v>
      </c>
      <c r="M93" s="32" t="s">
        <v>6</v>
      </c>
      <c r="N93" s="57">
        <v>1</v>
      </c>
      <c r="O93" s="65">
        <v>2017</v>
      </c>
    </row>
    <row r="94" spans="1:15" s="24" customFormat="1" ht="39" customHeight="1" x14ac:dyDescent="0.3">
      <c r="A94" s="25"/>
      <c r="B94" s="52"/>
      <c r="C94" s="26"/>
      <c r="D94" s="32"/>
      <c r="E94" s="32"/>
      <c r="F94" s="32"/>
      <c r="G94" s="32"/>
      <c r="H94" s="32"/>
      <c r="I94" s="32"/>
      <c r="J94" s="32"/>
      <c r="K94" s="58"/>
      <c r="L94" s="31" t="s">
        <v>25</v>
      </c>
      <c r="M94" s="32" t="s">
        <v>6</v>
      </c>
      <c r="N94" s="59">
        <v>130</v>
      </c>
      <c r="O94" s="65">
        <v>2017</v>
      </c>
    </row>
    <row r="95" spans="1:15" s="24" customFormat="1" ht="39" customHeight="1" x14ac:dyDescent="0.3">
      <c r="A95" s="25"/>
      <c r="B95" s="52"/>
      <c r="C95" s="26"/>
      <c r="D95" s="32"/>
      <c r="E95" s="32"/>
      <c r="F95" s="32"/>
      <c r="G95" s="32"/>
      <c r="H95" s="32"/>
      <c r="I95" s="32"/>
      <c r="J95" s="32"/>
      <c r="K95" s="58"/>
      <c r="L95" s="31" t="s">
        <v>42</v>
      </c>
      <c r="M95" s="32" t="s">
        <v>6</v>
      </c>
      <c r="N95" s="57">
        <v>49</v>
      </c>
      <c r="O95" s="65">
        <v>2017</v>
      </c>
    </row>
    <row r="96" spans="1:15" s="24" customFormat="1" ht="39" customHeight="1" x14ac:dyDescent="0.3">
      <c r="A96" s="25"/>
      <c r="B96" s="52"/>
      <c r="C96" s="26"/>
      <c r="D96" s="32"/>
      <c r="E96" s="32"/>
      <c r="F96" s="32"/>
      <c r="G96" s="32"/>
      <c r="H96" s="32"/>
      <c r="I96" s="32"/>
      <c r="J96" s="32"/>
      <c r="K96" s="58"/>
      <c r="L96" s="31" t="s">
        <v>85</v>
      </c>
      <c r="M96" s="32" t="s">
        <v>6</v>
      </c>
      <c r="N96" s="57">
        <v>1</v>
      </c>
      <c r="O96" s="65">
        <v>2017</v>
      </c>
    </row>
    <row r="97" spans="1:15" s="24" customFormat="1" ht="39" customHeight="1" x14ac:dyDescent="0.3">
      <c r="A97" s="25"/>
      <c r="B97" s="52"/>
      <c r="C97" s="26"/>
      <c r="D97" s="32"/>
      <c r="E97" s="32"/>
      <c r="F97" s="32"/>
      <c r="G97" s="32"/>
      <c r="H97" s="32"/>
      <c r="I97" s="32"/>
      <c r="J97" s="32"/>
      <c r="K97" s="58"/>
      <c r="L97" s="31" t="s">
        <v>86</v>
      </c>
      <c r="M97" s="32" t="s">
        <v>6</v>
      </c>
      <c r="N97" s="57">
        <v>2</v>
      </c>
      <c r="O97" s="65">
        <v>2017</v>
      </c>
    </row>
    <row r="98" spans="1:15" s="24" customFormat="1" ht="39" customHeight="1" x14ac:dyDescent="0.3">
      <c r="A98" s="25"/>
      <c r="B98" s="52"/>
      <c r="C98" s="26"/>
      <c r="D98" s="32"/>
      <c r="E98" s="32"/>
      <c r="F98" s="32"/>
      <c r="G98" s="32"/>
      <c r="H98" s="32"/>
      <c r="I98" s="32"/>
      <c r="J98" s="32"/>
      <c r="K98" s="58"/>
      <c r="L98" s="31" t="s">
        <v>87</v>
      </c>
      <c r="M98" s="32" t="s">
        <v>6</v>
      </c>
      <c r="N98" s="57">
        <v>1</v>
      </c>
      <c r="O98" s="65">
        <v>2017</v>
      </c>
    </row>
    <row r="99" spans="1:15" s="24" customFormat="1" ht="39" customHeight="1" x14ac:dyDescent="0.3">
      <c r="A99" s="25"/>
      <c r="B99" s="52"/>
      <c r="C99" s="26"/>
      <c r="D99" s="32"/>
      <c r="E99" s="32"/>
      <c r="F99" s="32"/>
      <c r="G99" s="32"/>
      <c r="H99" s="32"/>
      <c r="I99" s="32"/>
      <c r="J99" s="32"/>
      <c r="K99" s="58"/>
      <c r="L99" s="31" t="s">
        <v>88</v>
      </c>
      <c r="M99" s="32" t="s">
        <v>6</v>
      </c>
      <c r="N99" s="57">
        <v>1</v>
      </c>
      <c r="O99" s="65">
        <v>2017</v>
      </c>
    </row>
    <row r="100" spans="1:15" s="24" customFormat="1" ht="39" customHeight="1" x14ac:dyDescent="0.3">
      <c r="A100" s="25"/>
      <c r="B100" s="52"/>
      <c r="C100" s="26"/>
      <c r="D100" s="32"/>
      <c r="E100" s="32"/>
      <c r="F100" s="32"/>
      <c r="G100" s="32"/>
      <c r="H100" s="32"/>
      <c r="I100" s="32"/>
      <c r="J100" s="32"/>
      <c r="K100" s="58"/>
      <c r="L100" s="31" t="s">
        <v>89</v>
      </c>
      <c r="M100" s="32" t="s">
        <v>6</v>
      </c>
      <c r="N100" s="57">
        <v>1</v>
      </c>
      <c r="O100" s="65">
        <v>2017</v>
      </c>
    </row>
    <row r="101" spans="1:15" s="24" customFormat="1" ht="56.25" customHeight="1" x14ac:dyDescent="0.3">
      <c r="A101" s="25"/>
      <c r="B101" s="26" t="s">
        <v>148</v>
      </c>
      <c r="C101" s="26"/>
      <c r="D101" s="32">
        <v>228</v>
      </c>
      <c r="E101" s="32">
        <v>8</v>
      </c>
      <c r="F101" s="29" t="s">
        <v>156</v>
      </c>
      <c r="G101" s="32">
        <v>325.8</v>
      </c>
      <c r="H101" s="32">
        <v>9.3000000000000007</v>
      </c>
      <c r="I101" s="32"/>
      <c r="J101" s="32"/>
      <c r="K101" s="58"/>
      <c r="L101" s="31" t="s">
        <v>90</v>
      </c>
      <c r="M101" s="32" t="s">
        <v>20</v>
      </c>
      <c r="N101" s="57">
        <f>4.3*0.6*0.1</f>
        <v>0.25799999999999995</v>
      </c>
      <c r="O101" s="65">
        <v>2017</v>
      </c>
    </row>
    <row r="102" spans="1:15" s="24" customFormat="1" ht="39" customHeight="1" x14ac:dyDescent="0.3">
      <c r="A102" s="19">
        <v>11</v>
      </c>
      <c r="B102" s="20" t="s">
        <v>91</v>
      </c>
      <c r="C102" s="21" t="s">
        <v>31</v>
      </c>
      <c r="D102" s="53"/>
      <c r="E102" s="53"/>
      <c r="F102" s="53"/>
      <c r="G102" s="23">
        <f>SUM(G103:G107)</f>
        <v>0</v>
      </c>
      <c r="H102" s="23">
        <f>SUM(H103:H107)</f>
        <v>0</v>
      </c>
      <c r="I102" s="23">
        <f>SUM(I103:I107)</f>
        <v>0</v>
      </c>
      <c r="J102" s="23">
        <f>SUM(J103:J107)</f>
        <v>0</v>
      </c>
      <c r="K102" s="23">
        <f>SUM(K103:K107)</f>
        <v>0</v>
      </c>
      <c r="L102" s="54"/>
      <c r="M102" s="55"/>
      <c r="N102" s="56"/>
      <c r="O102" s="49"/>
    </row>
    <row r="103" spans="1:15" s="24" customFormat="1" ht="61.5" customHeight="1" x14ac:dyDescent="0.3">
      <c r="A103" s="25"/>
      <c r="B103" s="26" t="s">
        <v>157</v>
      </c>
      <c r="C103" s="26"/>
      <c r="D103" s="29">
        <v>23</v>
      </c>
      <c r="E103" s="28">
        <v>8</v>
      </c>
      <c r="F103" s="29" t="s">
        <v>147</v>
      </c>
      <c r="G103" s="32">
        <v>0</v>
      </c>
      <c r="H103" s="32">
        <f>SUM(I103:J103)</f>
        <v>0</v>
      </c>
      <c r="I103" s="32">
        <v>0</v>
      </c>
      <c r="J103" s="32">
        <v>0</v>
      </c>
      <c r="K103" s="32">
        <f>G103-H103</f>
        <v>0</v>
      </c>
      <c r="L103" s="31" t="s">
        <v>132</v>
      </c>
      <c r="M103" s="32" t="s">
        <v>19</v>
      </c>
      <c r="N103" s="57">
        <f>3.7*6</f>
        <v>22.200000000000003</v>
      </c>
      <c r="O103" s="65">
        <v>2017</v>
      </c>
    </row>
    <row r="104" spans="1:15" s="24" customFormat="1" ht="39" customHeight="1" x14ac:dyDescent="0.3">
      <c r="A104" s="25"/>
      <c r="B104" s="52"/>
      <c r="C104" s="26"/>
      <c r="D104" s="32"/>
      <c r="E104" s="32"/>
      <c r="F104" s="32"/>
      <c r="G104" s="32"/>
      <c r="H104" s="32"/>
      <c r="I104" s="32"/>
      <c r="J104" s="32"/>
      <c r="K104" s="58"/>
      <c r="L104" s="31" t="s">
        <v>92</v>
      </c>
      <c r="M104" s="32" t="s">
        <v>20</v>
      </c>
      <c r="N104" s="57">
        <v>9</v>
      </c>
      <c r="O104" s="65">
        <v>2017</v>
      </c>
    </row>
    <row r="105" spans="1:15" s="24" customFormat="1" ht="39" customHeight="1" x14ac:dyDescent="0.3">
      <c r="A105" s="25"/>
      <c r="B105" s="52"/>
      <c r="C105" s="26"/>
      <c r="D105" s="32"/>
      <c r="E105" s="32"/>
      <c r="F105" s="32"/>
      <c r="G105" s="32"/>
      <c r="H105" s="32"/>
      <c r="I105" s="32"/>
      <c r="J105" s="32"/>
      <c r="K105" s="58"/>
      <c r="L105" s="31" t="s">
        <v>87</v>
      </c>
      <c r="M105" s="32" t="s">
        <v>6</v>
      </c>
      <c r="N105" s="59">
        <v>1</v>
      </c>
      <c r="O105" s="65">
        <v>2017</v>
      </c>
    </row>
    <row r="106" spans="1:15" s="24" customFormat="1" ht="39" customHeight="1" x14ac:dyDescent="0.3">
      <c r="A106" s="25"/>
      <c r="B106" s="52"/>
      <c r="C106" s="26"/>
      <c r="D106" s="32"/>
      <c r="E106" s="32"/>
      <c r="F106" s="32"/>
      <c r="G106" s="32"/>
      <c r="H106" s="32"/>
      <c r="I106" s="32"/>
      <c r="J106" s="32"/>
      <c r="K106" s="58"/>
      <c r="L106" s="31" t="s">
        <v>25</v>
      </c>
      <c r="M106" s="32" t="s">
        <v>6</v>
      </c>
      <c r="N106" s="57">
        <v>47</v>
      </c>
      <c r="O106" s="65">
        <v>2017</v>
      </c>
    </row>
    <row r="107" spans="1:15" s="24" customFormat="1" ht="39" customHeight="1" x14ac:dyDescent="0.3">
      <c r="A107" s="25"/>
      <c r="B107" s="52"/>
      <c r="C107" s="26"/>
      <c r="D107" s="32"/>
      <c r="E107" s="32"/>
      <c r="F107" s="32"/>
      <c r="G107" s="32"/>
      <c r="H107" s="32"/>
      <c r="I107" s="32"/>
      <c r="J107" s="32"/>
      <c r="K107" s="58"/>
      <c r="L107" s="31" t="s">
        <v>42</v>
      </c>
      <c r="M107" s="32" t="s">
        <v>6</v>
      </c>
      <c r="N107" s="57">
        <v>24</v>
      </c>
      <c r="O107" s="65">
        <v>2017</v>
      </c>
    </row>
    <row r="108" spans="1:15" s="24" customFormat="1" ht="39" customHeight="1" x14ac:dyDescent="0.3">
      <c r="A108" s="19">
        <v>12</v>
      </c>
      <c r="B108" s="20" t="s">
        <v>93</v>
      </c>
      <c r="C108" s="21" t="s">
        <v>31</v>
      </c>
      <c r="D108" s="53"/>
      <c r="E108" s="53"/>
      <c r="F108" s="53"/>
      <c r="G108" s="23">
        <f>SUM(G109:G113)</f>
        <v>123.9</v>
      </c>
      <c r="H108" s="23">
        <f>SUM(H109:H113)</f>
        <v>6.3</v>
      </c>
      <c r="I108" s="23">
        <f>SUM(I109:I113)</f>
        <v>6.3</v>
      </c>
      <c r="J108" s="23">
        <f>SUM(J109:J113)</f>
        <v>0</v>
      </c>
      <c r="K108" s="23">
        <f>SUM(K109:K113)</f>
        <v>117.60000000000001</v>
      </c>
      <c r="L108" s="54"/>
      <c r="M108" s="55"/>
      <c r="N108" s="56"/>
      <c r="O108" s="49"/>
    </row>
    <row r="109" spans="1:15" s="24" customFormat="1" ht="39" customHeight="1" x14ac:dyDescent="0.3">
      <c r="A109" s="25"/>
      <c r="B109" s="26" t="s">
        <v>157</v>
      </c>
      <c r="C109" s="26"/>
      <c r="D109" s="29">
        <v>675</v>
      </c>
      <c r="E109" s="28">
        <v>11</v>
      </c>
      <c r="F109" s="29" t="s">
        <v>56</v>
      </c>
      <c r="G109" s="32">
        <v>123.9</v>
      </c>
      <c r="H109" s="32">
        <f>SUM(I109:J109)</f>
        <v>6.3</v>
      </c>
      <c r="I109" s="32">
        <v>6.3</v>
      </c>
      <c r="J109" s="32">
        <v>0</v>
      </c>
      <c r="K109" s="32">
        <f>G109-H109</f>
        <v>117.60000000000001</v>
      </c>
      <c r="L109" s="31" t="s">
        <v>90</v>
      </c>
      <c r="M109" s="32" t="s">
        <v>20</v>
      </c>
      <c r="N109" s="57">
        <f>6.6*2*0.1</f>
        <v>1.32</v>
      </c>
      <c r="O109" s="65">
        <v>2008</v>
      </c>
    </row>
    <row r="110" spans="1:15" s="24" customFormat="1" ht="39" customHeight="1" x14ac:dyDescent="0.3">
      <c r="A110" s="25"/>
      <c r="B110" s="52"/>
      <c r="C110" s="26"/>
      <c r="D110" s="32"/>
      <c r="E110" s="32"/>
      <c r="F110" s="32"/>
      <c r="G110" s="32"/>
      <c r="H110" s="32"/>
      <c r="I110" s="32"/>
      <c r="J110" s="32"/>
      <c r="K110" s="58"/>
      <c r="L110" s="31" t="s">
        <v>94</v>
      </c>
      <c r="M110" s="32" t="s">
        <v>20</v>
      </c>
      <c r="N110" s="57">
        <f>2.2*2.8*2.5</f>
        <v>15.4</v>
      </c>
      <c r="O110" s="65">
        <v>2008</v>
      </c>
    </row>
    <row r="111" spans="1:15" s="24" customFormat="1" ht="46.5" customHeight="1" x14ac:dyDescent="0.3">
      <c r="A111" s="25"/>
      <c r="B111" s="52"/>
      <c r="C111" s="26"/>
      <c r="D111" s="32"/>
      <c r="E111" s="32"/>
      <c r="F111" s="32"/>
      <c r="G111" s="32"/>
      <c r="H111" s="32"/>
      <c r="I111" s="32"/>
      <c r="J111" s="32"/>
      <c r="K111" s="58"/>
      <c r="L111" s="31" t="s">
        <v>133</v>
      </c>
      <c r="M111" s="32" t="s">
        <v>19</v>
      </c>
      <c r="N111" s="59">
        <f>2.8*4.4</f>
        <v>12.32</v>
      </c>
      <c r="O111" s="65">
        <v>2008</v>
      </c>
    </row>
    <row r="112" spans="1:15" s="24" customFormat="1" ht="39" customHeight="1" x14ac:dyDescent="0.3">
      <c r="A112" s="25"/>
      <c r="B112" s="52"/>
      <c r="C112" s="26"/>
      <c r="D112" s="32"/>
      <c r="E112" s="32"/>
      <c r="F112" s="32"/>
      <c r="G112" s="32"/>
      <c r="H112" s="32"/>
      <c r="I112" s="32"/>
      <c r="J112" s="32"/>
      <c r="K112" s="58"/>
      <c r="L112" s="31" t="s">
        <v>58</v>
      </c>
      <c r="M112" s="32" t="s">
        <v>19</v>
      </c>
      <c r="N112" s="57">
        <f>1.6*2.8</f>
        <v>4.4799999999999995</v>
      </c>
      <c r="O112" s="65">
        <v>2008</v>
      </c>
    </row>
    <row r="113" spans="1:15" s="24" customFormat="1" ht="39" customHeight="1" x14ac:dyDescent="0.3">
      <c r="A113" s="25"/>
      <c r="B113" s="52"/>
      <c r="C113" s="26"/>
      <c r="D113" s="32"/>
      <c r="E113" s="32"/>
      <c r="F113" s="32"/>
      <c r="G113" s="32"/>
      <c r="H113" s="32"/>
      <c r="I113" s="32"/>
      <c r="J113" s="32"/>
      <c r="K113" s="58"/>
      <c r="L113" s="31" t="s">
        <v>95</v>
      </c>
      <c r="M113" s="32" t="s">
        <v>6</v>
      </c>
      <c r="N113" s="57">
        <v>2</v>
      </c>
      <c r="O113" s="65">
        <v>2008</v>
      </c>
    </row>
    <row r="114" spans="1:15" s="24" customFormat="1" ht="48.75" customHeight="1" x14ac:dyDescent="0.3">
      <c r="A114" s="19">
        <v>13</v>
      </c>
      <c r="B114" s="20" t="s">
        <v>96</v>
      </c>
      <c r="C114" s="21" t="s">
        <v>31</v>
      </c>
      <c r="D114" s="53"/>
      <c r="E114" s="53"/>
      <c r="F114" s="53"/>
      <c r="G114" s="23">
        <f>SUM(G115:G119)</f>
        <v>118.1</v>
      </c>
      <c r="H114" s="23">
        <f>SUM(H115:H119)</f>
        <v>7.4</v>
      </c>
      <c r="I114" s="23">
        <f>SUM(I115:I119)</f>
        <v>7.4</v>
      </c>
      <c r="J114" s="23">
        <f>SUM(J115:J119)</f>
        <v>0</v>
      </c>
      <c r="K114" s="23">
        <f>SUM(K115:K119)</f>
        <v>110.69999999999999</v>
      </c>
      <c r="L114" s="54"/>
      <c r="M114" s="55"/>
      <c r="N114" s="56"/>
      <c r="O114" s="49"/>
    </row>
    <row r="115" spans="1:15" s="24" customFormat="1" ht="39" customHeight="1" x14ac:dyDescent="0.3">
      <c r="A115" s="25"/>
      <c r="B115" s="26" t="s">
        <v>157</v>
      </c>
      <c r="C115" s="26"/>
      <c r="D115" s="29">
        <v>38</v>
      </c>
      <c r="E115" s="28">
        <v>11</v>
      </c>
      <c r="F115" s="29" t="s">
        <v>56</v>
      </c>
      <c r="G115" s="32">
        <v>118.1</v>
      </c>
      <c r="H115" s="32">
        <f>SUM(I115:J115)</f>
        <v>7.4</v>
      </c>
      <c r="I115" s="32">
        <v>7.4</v>
      </c>
      <c r="J115" s="32">
        <v>0</v>
      </c>
      <c r="K115" s="32">
        <f>G115-H115</f>
        <v>110.69999999999999</v>
      </c>
      <c r="L115" s="31" t="s">
        <v>97</v>
      </c>
      <c r="M115" s="32" t="s">
        <v>21</v>
      </c>
      <c r="N115" s="57">
        <v>100</v>
      </c>
      <c r="O115" s="65">
        <v>2008</v>
      </c>
    </row>
    <row r="116" spans="1:15" s="24" customFormat="1" ht="39" customHeight="1" x14ac:dyDescent="0.3">
      <c r="A116" s="25"/>
      <c r="B116" s="52"/>
      <c r="C116" s="26"/>
      <c r="D116" s="32"/>
      <c r="E116" s="32"/>
      <c r="F116" s="32"/>
      <c r="G116" s="32"/>
      <c r="H116" s="32"/>
      <c r="I116" s="32"/>
      <c r="J116" s="32"/>
      <c r="K116" s="58"/>
      <c r="L116" s="31" t="s">
        <v>98</v>
      </c>
      <c r="M116" s="32" t="s">
        <v>6</v>
      </c>
      <c r="N116" s="57">
        <v>1</v>
      </c>
      <c r="O116" s="65">
        <v>2008</v>
      </c>
    </row>
    <row r="117" spans="1:15" s="24" customFormat="1" ht="39" customHeight="1" x14ac:dyDescent="0.3">
      <c r="A117" s="25"/>
      <c r="B117" s="52"/>
      <c r="C117" s="26"/>
      <c r="D117" s="32"/>
      <c r="E117" s="32"/>
      <c r="F117" s="32"/>
      <c r="G117" s="32"/>
      <c r="H117" s="32"/>
      <c r="I117" s="32"/>
      <c r="J117" s="32"/>
      <c r="K117" s="58"/>
      <c r="L117" s="31" t="s">
        <v>99</v>
      </c>
      <c r="M117" s="32" t="s">
        <v>6</v>
      </c>
      <c r="N117" s="59">
        <v>1</v>
      </c>
      <c r="O117" s="65">
        <v>2008</v>
      </c>
    </row>
    <row r="118" spans="1:15" s="24" customFormat="1" ht="39" customHeight="1" x14ac:dyDescent="0.3">
      <c r="A118" s="25"/>
      <c r="B118" s="52"/>
      <c r="C118" s="26"/>
      <c r="D118" s="32"/>
      <c r="E118" s="32"/>
      <c r="F118" s="32"/>
      <c r="G118" s="32"/>
      <c r="H118" s="32"/>
      <c r="I118" s="32"/>
      <c r="J118" s="32"/>
      <c r="K118" s="58"/>
      <c r="L118" s="31" t="s">
        <v>25</v>
      </c>
      <c r="M118" s="32" t="s">
        <v>6</v>
      </c>
      <c r="N118" s="57">
        <v>50</v>
      </c>
      <c r="O118" s="65">
        <v>2008</v>
      </c>
    </row>
    <row r="119" spans="1:15" s="24" customFormat="1" ht="39" customHeight="1" x14ac:dyDescent="0.3">
      <c r="A119" s="25"/>
      <c r="B119" s="52"/>
      <c r="C119" s="26"/>
      <c r="D119" s="32"/>
      <c r="E119" s="32"/>
      <c r="F119" s="32"/>
      <c r="G119" s="32"/>
      <c r="H119" s="32"/>
      <c r="I119" s="32"/>
      <c r="J119" s="32"/>
      <c r="K119" s="58"/>
      <c r="L119" s="31" t="s">
        <v>58</v>
      </c>
      <c r="M119" s="32" t="s">
        <v>19</v>
      </c>
      <c r="N119" s="57">
        <f>1.6*2.5</f>
        <v>4</v>
      </c>
      <c r="O119" s="65">
        <v>2008</v>
      </c>
    </row>
    <row r="120" spans="1:15" s="24" customFormat="1" ht="39" customHeight="1" x14ac:dyDescent="0.3">
      <c r="A120" s="19">
        <v>14</v>
      </c>
      <c r="B120" s="20" t="s">
        <v>100</v>
      </c>
      <c r="C120" s="21" t="s">
        <v>31</v>
      </c>
      <c r="D120" s="53"/>
      <c r="E120" s="53"/>
      <c r="F120" s="53"/>
      <c r="G120" s="23">
        <f>SUM(G121:G133)</f>
        <v>0</v>
      </c>
      <c r="H120" s="23">
        <f>SUM(H121:H133)</f>
        <v>0</v>
      </c>
      <c r="I120" s="23">
        <f>SUM(I121:I133)</f>
        <v>0</v>
      </c>
      <c r="J120" s="23">
        <f>SUM(J121:J133)</f>
        <v>0</v>
      </c>
      <c r="K120" s="23">
        <f>SUM(K121:K133)</f>
        <v>0</v>
      </c>
      <c r="L120" s="54"/>
      <c r="M120" s="55"/>
      <c r="N120" s="56"/>
      <c r="O120" s="49"/>
    </row>
    <row r="121" spans="1:15" s="24" customFormat="1" ht="82.5" customHeight="1" x14ac:dyDescent="0.3">
      <c r="A121" s="25"/>
      <c r="B121" s="26" t="s">
        <v>157</v>
      </c>
      <c r="C121" s="26"/>
      <c r="D121" s="29">
        <v>39</v>
      </c>
      <c r="E121" s="28">
        <v>11</v>
      </c>
      <c r="F121" s="29" t="s">
        <v>5</v>
      </c>
      <c r="G121" s="32">
        <v>0</v>
      </c>
      <c r="H121" s="32">
        <f>SUM(I121:J121)</f>
        <v>0</v>
      </c>
      <c r="I121" s="32">
        <v>0</v>
      </c>
      <c r="J121" s="32">
        <v>0</v>
      </c>
      <c r="K121" s="32">
        <f>G121-H121</f>
        <v>0</v>
      </c>
      <c r="L121" s="31" t="s">
        <v>135</v>
      </c>
      <c r="M121" s="32" t="s">
        <v>19</v>
      </c>
      <c r="N121" s="57">
        <f>7*9.8</f>
        <v>68.600000000000009</v>
      </c>
      <c r="O121" s="65">
        <v>2019</v>
      </c>
    </row>
    <row r="122" spans="1:15" s="24" customFormat="1" ht="46.5" customHeight="1" x14ac:dyDescent="0.3">
      <c r="A122" s="25"/>
      <c r="B122" s="52"/>
      <c r="C122" s="26"/>
      <c r="D122" s="29">
        <v>35</v>
      </c>
      <c r="E122" s="28">
        <v>11</v>
      </c>
      <c r="F122" s="29" t="s">
        <v>41</v>
      </c>
      <c r="G122" s="32">
        <v>0</v>
      </c>
      <c r="H122" s="32">
        <f>SUM(I122:J122)</f>
        <v>0</v>
      </c>
      <c r="I122" s="32">
        <v>0</v>
      </c>
      <c r="J122" s="32">
        <v>0</v>
      </c>
      <c r="K122" s="32">
        <f>G122-H122</f>
        <v>0</v>
      </c>
      <c r="L122" s="31" t="s">
        <v>134</v>
      </c>
      <c r="M122" s="32" t="s">
        <v>19</v>
      </c>
      <c r="N122" s="57">
        <f>7.4*2.7</f>
        <v>19.980000000000004</v>
      </c>
      <c r="O122" s="65">
        <v>2019</v>
      </c>
    </row>
    <row r="123" spans="1:15" s="24" customFormat="1" ht="39" customHeight="1" x14ac:dyDescent="0.3">
      <c r="A123" s="25"/>
      <c r="B123" s="52"/>
      <c r="C123" s="26"/>
      <c r="D123" s="32"/>
      <c r="E123" s="32"/>
      <c r="F123" s="32"/>
      <c r="G123" s="32"/>
      <c r="H123" s="32"/>
      <c r="I123" s="32"/>
      <c r="J123" s="32"/>
      <c r="K123" s="58"/>
      <c r="L123" s="31" t="s">
        <v>142</v>
      </c>
      <c r="M123" s="32" t="s">
        <v>20</v>
      </c>
      <c r="N123" s="59">
        <v>2</v>
      </c>
      <c r="O123" s="65">
        <v>2019</v>
      </c>
    </row>
    <row r="124" spans="1:15" s="24" customFormat="1" ht="39" customHeight="1" x14ac:dyDescent="0.3">
      <c r="A124" s="25"/>
      <c r="B124" s="52"/>
      <c r="C124" s="26"/>
      <c r="D124" s="32"/>
      <c r="E124" s="32"/>
      <c r="F124" s="32"/>
      <c r="G124" s="32"/>
      <c r="H124" s="32"/>
      <c r="I124" s="32"/>
      <c r="J124" s="32"/>
      <c r="K124" s="58"/>
      <c r="L124" s="31" t="s">
        <v>101</v>
      </c>
      <c r="M124" s="32" t="s">
        <v>6</v>
      </c>
      <c r="N124" s="57">
        <v>1</v>
      </c>
      <c r="O124" s="65">
        <v>2008</v>
      </c>
    </row>
    <row r="125" spans="1:15" s="24" customFormat="1" ht="39" customHeight="1" x14ac:dyDescent="0.3">
      <c r="A125" s="25"/>
      <c r="B125" s="52"/>
      <c r="C125" s="26"/>
      <c r="D125" s="32"/>
      <c r="E125" s="32"/>
      <c r="F125" s="32"/>
      <c r="G125" s="32"/>
      <c r="H125" s="32"/>
      <c r="I125" s="32"/>
      <c r="J125" s="32"/>
      <c r="K125" s="58"/>
      <c r="L125" s="31" t="s">
        <v>102</v>
      </c>
      <c r="M125" s="32" t="s">
        <v>6</v>
      </c>
      <c r="N125" s="57">
        <v>43</v>
      </c>
      <c r="O125" s="65">
        <v>2008</v>
      </c>
    </row>
    <row r="126" spans="1:15" s="24" customFormat="1" ht="39" customHeight="1" x14ac:dyDescent="0.3">
      <c r="A126" s="25"/>
      <c r="B126" s="52"/>
      <c r="C126" s="26"/>
      <c r="D126" s="32"/>
      <c r="E126" s="32"/>
      <c r="F126" s="32"/>
      <c r="G126" s="32"/>
      <c r="H126" s="32"/>
      <c r="I126" s="32"/>
      <c r="J126" s="32"/>
      <c r="K126" s="58"/>
      <c r="L126" s="31" t="s">
        <v>103</v>
      </c>
      <c r="M126" s="32" t="s">
        <v>6</v>
      </c>
      <c r="N126" s="57">
        <v>24</v>
      </c>
      <c r="O126" s="65">
        <v>2008</v>
      </c>
    </row>
    <row r="127" spans="1:15" s="24" customFormat="1" ht="39" customHeight="1" x14ac:dyDescent="0.3">
      <c r="A127" s="25"/>
      <c r="B127" s="52"/>
      <c r="C127" s="26"/>
      <c r="D127" s="32"/>
      <c r="E127" s="32"/>
      <c r="F127" s="32"/>
      <c r="G127" s="32"/>
      <c r="H127" s="32"/>
      <c r="I127" s="32"/>
      <c r="J127" s="32"/>
      <c r="K127" s="58"/>
      <c r="L127" s="31" t="s">
        <v>104</v>
      </c>
      <c r="M127" s="32" t="s">
        <v>6</v>
      </c>
      <c r="N127" s="57">
        <v>1</v>
      </c>
      <c r="O127" s="65">
        <v>2008</v>
      </c>
    </row>
    <row r="128" spans="1:15" s="24" customFormat="1" ht="39" customHeight="1" x14ac:dyDescent="0.3">
      <c r="A128" s="25"/>
      <c r="B128" s="52"/>
      <c r="C128" s="26"/>
      <c r="D128" s="32"/>
      <c r="E128" s="32"/>
      <c r="F128" s="32"/>
      <c r="G128" s="32"/>
      <c r="H128" s="32"/>
      <c r="I128" s="32"/>
      <c r="J128" s="32"/>
      <c r="K128" s="58"/>
      <c r="L128" s="31" t="s">
        <v>105</v>
      </c>
      <c r="M128" s="32" t="s">
        <v>6</v>
      </c>
      <c r="N128" s="57">
        <v>1</v>
      </c>
      <c r="O128" s="65">
        <v>2008</v>
      </c>
    </row>
    <row r="129" spans="1:15" s="24" customFormat="1" ht="39" customHeight="1" x14ac:dyDescent="0.3">
      <c r="A129" s="25"/>
      <c r="B129" s="52"/>
      <c r="C129" s="26"/>
      <c r="D129" s="32"/>
      <c r="E129" s="32"/>
      <c r="F129" s="32"/>
      <c r="G129" s="32"/>
      <c r="H129" s="32"/>
      <c r="I129" s="32"/>
      <c r="J129" s="32"/>
      <c r="K129" s="58"/>
      <c r="L129" s="31" t="s">
        <v>50</v>
      </c>
      <c r="M129" s="32" t="s">
        <v>6</v>
      </c>
      <c r="N129" s="57">
        <v>1</v>
      </c>
      <c r="O129" s="65">
        <v>2008</v>
      </c>
    </row>
    <row r="130" spans="1:15" s="24" customFormat="1" ht="39" customHeight="1" x14ac:dyDescent="0.3">
      <c r="A130" s="25"/>
      <c r="B130" s="52"/>
      <c r="C130" s="26"/>
      <c r="D130" s="32"/>
      <c r="E130" s="32"/>
      <c r="F130" s="32"/>
      <c r="G130" s="32"/>
      <c r="H130" s="32"/>
      <c r="I130" s="32"/>
      <c r="J130" s="32"/>
      <c r="K130" s="58"/>
      <c r="L130" s="31" t="s">
        <v>158</v>
      </c>
      <c r="M130" s="32" t="s">
        <v>6</v>
      </c>
      <c r="N130" s="57">
        <v>1</v>
      </c>
      <c r="O130" s="65">
        <v>2008</v>
      </c>
    </row>
    <row r="131" spans="1:15" s="24" customFormat="1" ht="39" customHeight="1" x14ac:dyDescent="0.3">
      <c r="A131" s="25"/>
      <c r="B131" s="52"/>
      <c r="C131" s="26"/>
      <c r="D131" s="32"/>
      <c r="E131" s="32"/>
      <c r="F131" s="32"/>
      <c r="G131" s="32"/>
      <c r="H131" s="32"/>
      <c r="I131" s="32"/>
      <c r="J131" s="32"/>
      <c r="K131" s="58"/>
      <c r="L131" s="31" t="s">
        <v>106</v>
      </c>
      <c r="M131" s="32" t="s">
        <v>6</v>
      </c>
      <c r="N131" s="57">
        <v>1</v>
      </c>
      <c r="O131" s="65">
        <v>2008</v>
      </c>
    </row>
    <row r="132" spans="1:15" s="24" customFormat="1" ht="39" customHeight="1" x14ac:dyDescent="0.3">
      <c r="A132" s="25"/>
      <c r="B132" s="52"/>
      <c r="C132" s="26"/>
      <c r="D132" s="32"/>
      <c r="E132" s="32"/>
      <c r="F132" s="32"/>
      <c r="G132" s="32"/>
      <c r="H132" s="32"/>
      <c r="I132" s="32"/>
      <c r="J132" s="32"/>
      <c r="K132" s="58"/>
      <c r="L132" s="31" t="s">
        <v>25</v>
      </c>
      <c r="M132" s="32" t="s">
        <v>6</v>
      </c>
      <c r="N132" s="57">
        <v>61</v>
      </c>
      <c r="O132" s="65">
        <v>2008</v>
      </c>
    </row>
    <row r="133" spans="1:15" s="24" customFormat="1" ht="39" customHeight="1" x14ac:dyDescent="0.3">
      <c r="A133" s="25"/>
      <c r="B133" s="52"/>
      <c r="C133" s="26"/>
      <c r="D133" s="32"/>
      <c r="E133" s="32"/>
      <c r="F133" s="32"/>
      <c r="G133" s="32"/>
      <c r="H133" s="32"/>
      <c r="I133" s="32"/>
      <c r="J133" s="32"/>
      <c r="K133" s="58"/>
      <c r="L133" s="31" t="s">
        <v>42</v>
      </c>
      <c r="M133" s="32" t="s">
        <v>6</v>
      </c>
      <c r="N133" s="57">
        <v>19</v>
      </c>
      <c r="O133" s="65">
        <v>2008</v>
      </c>
    </row>
    <row r="134" spans="1:15" s="24" customFormat="1" ht="39" customHeight="1" x14ac:dyDescent="0.3">
      <c r="A134" s="19">
        <v>15</v>
      </c>
      <c r="B134" s="20" t="s">
        <v>143</v>
      </c>
      <c r="C134" s="21" t="s">
        <v>31</v>
      </c>
      <c r="D134" s="53"/>
      <c r="E134" s="53"/>
      <c r="F134" s="53"/>
      <c r="G134" s="23">
        <f>SUM(G135:G137)</f>
        <v>60.7</v>
      </c>
      <c r="H134" s="23">
        <f>SUM(H135:H137)</f>
        <v>2.2999999999999998</v>
      </c>
      <c r="I134" s="23">
        <f>SUM(I135:I137)</f>
        <v>2.2999999999999998</v>
      </c>
      <c r="J134" s="23">
        <f>SUM(J135:J137)</f>
        <v>0</v>
      </c>
      <c r="K134" s="23">
        <f>SUM(K135:K137)</f>
        <v>58.400000000000006</v>
      </c>
      <c r="L134" s="54"/>
      <c r="M134" s="55"/>
      <c r="N134" s="56"/>
      <c r="O134" s="49"/>
    </row>
    <row r="135" spans="1:15" s="24" customFormat="1" ht="39" customHeight="1" x14ac:dyDescent="0.3">
      <c r="A135" s="25"/>
      <c r="B135" s="52"/>
      <c r="C135" s="26"/>
      <c r="D135" s="29">
        <v>299</v>
      </c>
      <c r="E135" s="28">
        <v>8</v>
      </c>
      <c r="F135" s="29" t="s">
        <v>56</v>
      </c>
      <c r="G135" s="32">
        <v>60.7</v>
      </c>
      <c r="H135" s="32">
        <f>SUM(I135:J135)</f>
        <v>2.2999999999999998</v>
      </c>
      <c r="I135" s="32">
        <v>2.2999999999999998</v>
      </c>
      <c r="J135" s="32">
        <v>0</v>
      </c>
      <c r="K135" s="32">
        <f>G135-H135</f>
        <v>58.400000000000006</v>
      </c>
      <c r="L135" s="31" t="s">
        <v>144</v>
      </c>
      <c r="M135" s="32" t="s">
        <v>20</v>
      </c>
      <c r="N135" s="57">
        <f>0.6*0.4*13</f>
        <v>3.12</v>
      </c>
      <c r="O135" s="65">
        <v>2020</v>
      </c>
    </row>
    <row r="136" spans="1:15" s="24" customFormat="1" ht="53.25" customHeight="1" x14ac:dyDescent="0.3">
      <c r="A136" s="25"/>
      <c r="B136" s="52"/>
      <c r="C136" s="26"/>
      <c r="D136" s="32"/>
      <c r="E136" s="32"/>
      <c r="F136" s="32"/>
      <c r="G136" s="32"/>
      <c r="H136" s="32"/>
      <c r="I136" s="32"/>
      <c r="J136" s="32"/>
      <c r="K136" s="58"/>
      <c r="L136" s="31" t="s">
        <v>145</v>
      </c>
      <c r="M136" s="32" t="s">
        <v>19</v>
      </c>
      <c r="N136" s="57">
        <f>3.4*2.6</f>
        <v>8.84</v>
      </c>
      <c r="O136" s="65">
        <v>2020</v>
      </c>
    </row>
    <row r="137" spans="1:15" s="24" customFormat="1" ht="39" customHeight="1" x14ac:dyDescent="0.3">
      <c r="A137" s="25"/>
      <c r="B137" s="52"/>
      <c r="C137" s="26"/>
      <c r="D137" s="32"/>
      <c r="E137" s="32"/>
      <c r="F137" s="32"/>
      <c r="G137" s="32"/>
      <c r="H137" s="32"/>
      <c r="I137" s="32"/>
      <c r="J137" s="32"/>
      <c r="K137" s="58"/>
      <c r="L137" s="31" t="s">
        <v>146</v>
      </c>
      <c r="M137" s="32" t="s">
        <v>19</v>
      </c>
      <c r="N137" s="59">
        <f>5*2.6</f>
        <v>13</v>
      </c>
      <c r="O137" s="65">
        <v>2020</v>
      </c>
    </row>
    <row r="138" spans="1:15" s="24" customFormat="1" ht="39" customHeight="1" x14ac:dyDescent="0.3">
      <c r="A138" s="19">
        <v>16</v>
      </c>
      <c r="B138" s="20" t="s">
        <v>107</v>
      </c>
      <c r="C138" s="21" t="s">
        <v>31</v>
      </c>
      <c r="D138" s="53"/>
      <c r="E138" s="53"/>
      <c r="F138" s="53"/>
      <c r="G138" s="62">
        <f>SUM(G139:G163)</f>
        <v>1134.7</v>
      </c>
      <c r="H138" s="23">
        <f>SUM(H139:H163)</f>
        <v>208.4</v>
      </c>
      <c r="I138" s="23">
        <f>SUM(I139:I163)</f>
        <v>208.4</v>
      </c>
      <c r="J138" s="23">
        <f>SUM(J139:J163)</f>
        <v>0</v>
      </c>
      <c r="K138" s="23">
        <f>SUM(K139:K163)</f>
        <v>926.30000000000007</v>
      </c>
      <c r="L138" s="54"/>
      <c r="M138" s="55"/>
      <c r="N138" s="56"/>
      <c r="O138" s="49"/>
    </row>
    <row r="139" spans="1:15" s="24" customFormat="1" ht="138" customHeight="1" x14ac:dyDescent="0.3">
      <c r="A139" s="25"/>
      <c r="B139" s="50"/>
      <c r="C139" s="26"/>
      <c r="D139" s="32">
        <v>41</v>
      </c>
      <c r="E139" s="28">
        <v>11</v>
      </c>
      <c r="F139" s="29" t="s">
        <v>56</v>
      </c>
      <c r="G139" s="75">
        <v>1134.7</v>
      </c>
      <c r="H139" s="32">
        <f>SUM(I139:J139)</f>
        <v>119.2</v>
      </c>
      <c r="I139" s="32">
        <v>119.2</v>
      </c>
      <c r="J139" s="32">
        <v>0</v>
      </c>
      <c r="K139" s="75">
        <f>G139-H139-H140-H141</f>
        <v>926.30000000000007</v>
      </c>
      <c r="L139" s="31" t="s">
        <v>139</v>
      </c>
      <c r="M139" s="32" t="s">
        <v>19</v>
      </c>
      <c r="N139" s="57">
        <f>8*4.3</f>
        <v>34.4</v>
      </c>
      <c r="O139" s="65">
        <v>2015</v>
      </c>
    </row>
    <row r="140" spans="1:15" s="24" customFormat="1" ht="39" customHeight="1" x14ac:dyDescent="0.3">
      <c r="A140" s="25"/>
      <c r="B140" s="52"/>
      <c r="C140" s="26"/>
      <c r="D140" s="32"/>
      <c r="E140" s="28"/>
      <c r="F140" s="29" t="s">
        <v>5</v>
      </c>
      <c r="G140" s="76"/>
      <c r="H140" s="32">
        <f>SUM(I140:J140)</f>
        <v>10.3</v>
      </c>
      <c r="I140" s="32">
        <v>10.3</v>
      </c>
      <c r="J140" s="32">
        <v>0</v>
      </c>
      <c r="K140" s="76"/>
      <c r="L140" s="31" t="s">
        <v>138</v>
      </c>
      <c r="M140" s="32" t="s">
        <v>19</v>
      </c>
      <c r="N140" s="57">
        <f>4.3*6.7</f>
        <v>28.81</v>
      </c>
      <c r="O140" s="65">
        <v>2015</v>
      </c>
    </row>
    <row r="141" spans="1:15" s="24" customFormat="1" ht="39" customHeight="1" x14ac:dyDescent="0.3">
      <c r="A141" s="25"/>
      <c r="B141" s="52"/>
      <c r="C141" s="26"/>
      <c r="D141" s="32"/>
      <c r="E141" s="28"/>
      <c r="F141" s="29" t="s">
        <v>41</v>
      </c>
      <c r="G141" s="77"/>
      <c r="H141" s="32">
        <f>SUM(I141:J141)</f>
        <v>78.900000000000006</v>
      </c>
      <c r="I141" s="32">
        <v>78.900000000000006</v>
      </c>
      <c r="J141" s="32">
        <v>0</v>
      </c>
      <c r="K141" s="77"/>
      <c r="L141" s="31" t="s">
        <v>97</v>
      </c>
      <c r="M141" s="32" t="s">
        <v>21</v>
      </c>
      <c r="N141" s="57">
        <v>110</v>
      </c>
      <c r="O141" s="65">
        <v>2015</v>
      </c>
    </row>
    <row r="142" spans="1:15" s="24" customFormat="1" ht="39" customHeight="1" x14ac:dyDescent="0.3">
      <c r="A142" s="25"/>
      <c r="B142" s="52"/>
      <c r="C142" s="26"/>
      <c r="D142" s="32"/>
      <c r="E142" s="32"/>
      <c r="F142" s="32"/>
      <c r="G142" s="32"/>
      <c r="H142" s="32"/>
      <c r="I142" s="32"/>
      <c r="J142" s="32"/>
      <c r="K142" s="58"/>
      <c r="L142" s="31" t="s">
        <v>108</v>
      </c>
      <c r="M142" s="32" t="s">
        <v>19</v>
      </c>
      <c r="N142" s="57">
        <f>6.9*3.7</f>
        <v>25.53</v>
      </c>
      <c r="O142" s="65">
        <v>2015</v>
      </c>
    </row>
    <row r="143" spans="1:15" s="24" customFormat="1" ht="39" customHeight="1" x14ac:dyDescent="0.3">
      <c r="A143" s="25"/>
      <c r="B143" s="52"/>
      <c r="C143" s="26"/>
      <c r="D143" s="32"/>
      <c r="E143" s="32"/>
      <c r="F143" s="32"/>
      <c r="G143" s="32"/>
      <c r="H143" s="32"/>
      <c r="I143" s="32"/>
      <c r="J143" s="32"/>
      <c r="K143" s="58"/>
      <c r="L143" s="31" t="s">
        <v>109</v>
      </c>
      <c r="M143" s="32" t="s">
        <v>20</v>
      </c>
      <c r="N143" s="63">
        <f>32*1.6*0.1</f>
        <v>5.120000000000001</v>
      </c>
      <c r="O143" s="65">
        <v>2015</v>
      </c>
    </row>
    <row r="144" spans="1:15" s="24" customFormat="1" ht="39" customHeight="1" x14ac:dyDescent="0.3">
      <c r="A144" s="25"/>
      <c r="B144" s="52"/>
      <c r="C144" s="26"/>
      <c r="D144" s="32"/>
      <c r="E144" s="32"/>
      <c r="F144" s="32"/>
      <c r="G144" s="32"/>
      <c r="H144" s="32"/>
      <c r="I144" s="32"/>
      <c r="J144" s="32"/>
      <c r="K144" s="58"/>
      <c r="L144" s="31" t="s">
        <v>90</v>
      </c>
      <c r="M144" s="32" t="s">
        <v>20</v>
      </c>
      <c r="N144" s="57">
        <f>32*1.2*0.1</f>
        <v>3.84</v>
      </c>
      <c r="O144" s="65">
        <v>2015</v>
      </c>
    </row>
    <row r="145" spans="1:15" s="24" customFormat="1" ht="39" customHeight="1" x14ac:dyDescent="0.3">
      <c r="A145" s="25"/>
      <c r="B145" s="52"/>
      <c r="C145" s="26"/>
      <c r="D145" s="32"/>
      <c r="E145" s="32"/>
      <c r="F145" s="32"/>
      <c r="G145" s="32"/>
      <c r="H145" s="32"/>
      <c r="I145" s="32"/>
      <c r="J145" s="32"/>
      <c r="K145" s="58"/>
      <c r="L145" s="31" t="s">
        <v>110</v>
      </c>
      <c r="M145" s="32" t="s">
        <v>20</v>
      </c>
      <c r="N145" s="57">
        <f>7.5*1.6*0.4</f>
        <v>4.8000000000000007</v>
      </c>
      <c r="O145" s="65">
        <v>2015</v>
      </c>
    </row>
    <row r="146" spans="1:15" s="24" customFormat="1" ht="39" customHeight="1" x14ac:dyDescent="0.3">
      <c r="A146" s="25"/>
      <c r="B146" s="52"/>
      <c r="C146" s="26"/>
      <c r="D146" s="32"/>
      <c r="E146" s="32"/>
      <c r="F146" s="32"/>
      <c r="G146" s="32"/>
      <c r="H146" s="32"/>
      <c r="I146" s="32"/>
      <c r="J146" s="32"/>
      <c r="K146" s="58"/>
      <c r="L146" s="31" t="s">
        <v>110</v>
      </c>
      <c r="M146" s="32" t="s">
        <v>20</v>
      </c>
      <c r="N146" s="57">
        <f>1.5*0.25*0.25*5</f>
        <v>0.46875</v>
      </c>
      <c r="O146" s="65">
        <v>2015</v>
      </c>
    </row>
    <row r="147" spans="1:15" s="24" customFormat="1" ht="39" customHeight="1" x14ac:dyDescent="0.3">
      <c r="A147" s="25"/>
      <c r="B147" s="52"/>
      <c r="C147" s="26"/>
      <c r="D147" s="32"/>
      <c r="E147" s="32"/>
      <c r="F147" s="32"/>
      <c r="G147" s="32"/>
      <c r="H147" s="32"/>
      <c r="I147" s="32"/>
      <c r="J147" s="32"/>
      <c r="K147" s="58"/>
      <c r="L147" s="31" t="s">
        <v>110</v>
      </c>
      <c r="M147" s="32" t="s">
        <v>20</v>
      </c>
      <c r="N147" s="63">
        <f>2.7*0.4*6.8</f>
        <v>7.3440000000000003</v>
      </c>
      <c r="O147" s="65">
        <v>2015</v>
      </c>
    </row>
    <row r="148" spans="1:15" s="24" customFormat="1" ht="39" customHeight="1" x14ac:dyDescent="0.3">
      <c r="A148" s="25"/>
      <c r="B148" s="52"/>
      <c r="C148" s="26"/>
      <c r="D148" s="32"/>
      <c r="E148" s="32"/>
      <c r="F148" s="32"/>
      <c r="G148" s="32"/>
      <c r="H148" s="32"/>
      <c r="I148" s="32"/>
      <c r="J148" s="32"/>
      <c r="K148" s="58"/>
      <c r="L148" s="31" t="s">
        <v>111</v>
      </c>
      <c r="M148" s="32" t="s">
        <v>20</v>
      </c>
      <c r="N148" s="57">
        <f>1.1*5.5*0.1</f>
        <v>0.60500000000000009</v>
      </c>
      <c r="O148" s="65">
        <v>2015</v>
      </c>
    </row>
    <row r="149" spans="1:15" s="24" customFormat="1" ht="39" customHeight="1" x14ac:dyDescent="0.3">
      <c r="A149" s="25"/>
      <c r="B149" s="52"/>
      <c r="C149" s="26"/>
      <c r="D149" s="32"/>
      <c r="E149" s="32"/>
      <c r="F149" s="32"/>
      <c r="G149" s="32"/>
      <c r="H149" s="32"/>
      <c r="I149" s="32"/>
      <c r="J149" s="32"/>
      <c r="K149" s="58"/>
      <c r="L149" s="31" t="s">
        <v>112</v>
      </c>
      <c r="M149" s="32" t="s">
        <v>20</v>
      </c>
      <c r="N149" s="57">
        <f>2.4*2*0.9</f>
        <v>4.32</v>
      </c>
      <c r="O149" s="65">
        <v>2015</v>
      </c>
    </row>
    <row r="150" spans="1:15" s="24" customFormat="1" ht="66.75" customHeight="1" x14ac:dyDescent="0.3">
      <c r="A150" s="25"/>
      <c r="B150" s="52"/>
      <c r="C150" s="26"/>
      <c r="D150" s="32"/>
      <c r="E150" s="32"/>
      <c r="F150" s="32"/>
      <c r="G150" s="32"/>
      <c r="H150" s="32"/>
      <c r="I150" s="32"/>
      <c r="J150" s="32"/>
      <c r="K150" s="58"/>
      <c r="L150" s="31" t="s">
        <v>137</v>
      </c>
      <c r="M150" s="32" t="s">
        <v>19</v>
      </c>
      <c r="N150" s="57">
        <f>5.2*4.3</f>
        <v>22.36</v>
      </c>
      <c r="O150" s="65">
        <v>2015</v>
      </c>
    </row>
    <row r="151" spans="1:15" s="24" customFormat="1" ht="39" customHeight="1" x14ac:dyDescent="0.3">
      <c r="A151" s="25"/>
      <c r="B151" s="52"/>
      <c r="C151" s="26"/>
      <c r="D151" s="32"/>
      <c r="E151" s="32"/>
      <c r="F151" s="32"/>
      <c r="G151" s="32"/>
      <c r="H151" s="32"/>
      <c r="I151" s="32"/>
      <c r="J151" s="32"/>
      <c r="K151" s="58"/>
      <c r="L151" s="31" t="s">
        <v>113</v>
      </c>
      <c r="M151" s="32" t="s">
        <v>20</v>
      </c>
      <c r="N151" s="63">
        <f>1.2*14*0.22</f>
        <v>3.6960000000000002</v>
      </c>
      <c r="O151" s="65">
        <v>2015</v>
      </c>
    </row>
    <row r="152" spans="1:15" s="24" customFormat="1" ht="39" customHeight="1" x14ac:dyDescent="0.3">
      <c r="A152" s="25"/>
      <c r="B152" s="52"/>
      <c r="C152" s="26"/>
      <c r="D152" s="32"/>
      <c r="E152" s="32"/>
      <c r="F152" s="32"/>
      <c r="G152" s="32"/>
      <c r="H152" s="32"/>
      <c r="I152" s="32"/>
      <c r="J152" s="32"/>
      <c r="K152" s="58"/>
      <c r="L152" s="31" t="s">
        <v>114</v>
      </c>
      <c r="M152" s="32" t="s">
        <v>6</v>
      </c>
      <c r="N152" s="63">
        <v>1</v>
      </c>
      <c r="O152" s="65">
        <v>2015</v>
      </c>
    </row>
    <row r="153" spans="1:15" s="24" customFormat="1" ht="39" customHeight="1" x14ac:dyDescent="0.3">
      <c r="A153" s="25"/>
      <c r="B153" s="52"/>
      <c r="C153" s="26"/>
      <c r="D153" s="32"/>
      <c r="E153" s="32"/>
      <c r="F153" s="32"/>
      <c r="G153" s="32"/>
      <c r="H153" s="32"/>
      <c r="I153" s="32"/>
      <c r="J153" s="32"/>
      <c r="K153" s="58"/>
      <c r="L153" s="31" t="s">
        <v>24</v>
      </c>
      <c r="M153" s="32" t="s">
        <v>6</v>
      </c>
      <c r="N153" s="57">
        <v>1</v>
      </c>
      <c r="O153" s="65">
        <v>2015</v>
      </c>
    </row>
    <row r="154" spans="1:15" s="24" customFormat="1" ht="39" customHeight="1" x14ac:dyDescent="0.3">
      <c r="A154" s="25"/>
      <c r="B154" s="52"/>
      <c r="C154" s="26"/>
      <c r="D154" s="32"/>
      <c r="E154" s="32"/>
      <c r="F154" s="32"/>
      <c r="G154" s="32"/>
      <c r="H154" s="32"/>
      <c r="I154" s="32"/>
      <c r="J154" s="32"/>
      <c r="K154" s="58"/>
      <c r="L154" s="31" t="s">
        <v>115</v>
      </c>
      <c r="M154" s="32" t="s">
        <v>6</v>
      </c>
      <c r="N154" s="57">
        <v>2</v>
      </c>
      <c r="O154" s="65">
        <v>2015</v>
      </c>
    </row>
    <row r="155" spans="1:15" s="24" customFormat="1" ht="39" customHeight="1" x14ac:dyDescent="0.3">
      <c r="A155" s="25"/>
      <c r="B155" s="52"/>
      <c r="C155" s="26"/>
      <c r="D155" s="32"/>
      <c r="E155" s="32"/>
      <c r="F155" s="32"/>
      <c r="G155" s="32"/>
      <c r="H155" s="32"/>
      <c r="I155" s="32"/>
      <c r="J155" s="32"/>
      <c r="K155" s="58"/>
      <c r="L155" s="31" t="s">
        <v>99</v>
      </c>
      <c r="M155" s="32" t="s">
        <v>6</v>
      </c>
      <c r="N155" s="63">
        <v>1</v>
      </c>
      <c r="O155" s="65">
        <v>2015</v>
      </c>
    </row>
    <row r="156" spans="1:15" s="24" customFormat="1" ht="39" customHeight="1" x14ac:dyDescent="0.3">
      <c r="A156" s="25"/>
      <c r="B156" s="52"/>
      <c r="C156" s="26"/>
      <c r="D156" s="32"/>
      <c r="E156" s="32"/>
      <c r="F156" s="32"/>
      <c r="G156" s="32"/>
      <c r="H156" s="32"/>
      <c r="I156" s="32"/>
      <c r="J156" s="32"/>
      <c r="K156" s="58"/>
      <c r="L156" s="31" t="s">
        <v>116</v>
      </c>
      <c r="M156" s="32" t="s">
        <v>6</v>
      </c>
      <c r="N156" s="57">
        <v>1</v>
      </c>
      <c r="O156" s="65">
        <v>2015</v>
      </c>
    </row>
    <row r="157" spans="1:15" s="24" customFormat="1" ht="39" customHeight="1" x14ac:dyDescent="0.3">
      <c r="A157" s="25"/>
      <c r="B157" s="52"/>
      <c r="C157" s="26"/>
      <c r="D157" s="32"/>
      <c r="E157" s="32"/>
      <c r="F157" s="32"/>
      <c r="G157" s="32"/>
      <c r="H157" s="32"/>
      <c r="I157" s="32"/>
      <c r="J157" s="32"/>
      <c r="K157" s="58"/>
      <c r="L157" s="31" t="s">
        <v>72</v>
      </c>
      <c r="M157" s="32" t="s">
        <v>6</v>
      </c>
      <c r="N157" s="57">
        <v>1</v>
      </c>
      <c r="O157" s="65">
        <v>2015</v>
      </c>
    </row>
    <row r="158" spans="1:15" s="24" customFormat="1" ht="39" customHeight="1" x14ac:dyDescent="0.3">
      <c r="A158" s="25"/>
      <c r="B158" s="52"/>
      <c r="C158" s="26"/>
      <c r="D158" s="32"/>
      <c r="E158" s="32"/>
      <c r="F158" s="32"/>
      <c r="G158" s="32"/>
      <c r="H158" s="32"/>
      <c r="I158" s="32"/>
      <c r="J158" s="32"/>
      <c r="K158" s="58"/>
      <c r="L158" s="31" t="s">
        <v>117</v>
      </c>
      <c r="M158" s="32" t="s">
        <v>6</v>
      </c>
      <c r="N158" s="57">
        <v>1</v>
      </c>
      <c r="O158" s="65">
        <v>2015</v>
      </c>
    </row>
    <row r="159" spans="1:15" s="24" customFormat="1" ht="39" customHeight="1" x14ac:dyDescent="0.3">
      <c r="A159" s="25"/>
      <c r="B159" s="52"/>
      <c r="C159" s="26"/>
      <c r="D159" s="32"/>
      <c r="E159" s="32"/>
      <c r="F159" s="32"/>
      <c r="G159" s="32"/>
      <c r="H159" s="32"/>
      <c r="I159" s="32"/>
      <c r="J159" s="32"/>
      <c r="K159" s="58"/>
      <c r="L159" s="31" t="s">
        <v>118</v>
      </c>
      <c r="M159" s="32" t="s">
        <v>27</v>
      </c>
      <c r="N159" s="63">
        <v>3</v>
      </c>
      <c r="O159" s="65">
        <v>2015</v>
      </c>
    </row>
    <row r="160" spans="1:15" s="24" customFormat="1" ht="39" customHeight="1" x14ac:dyDescent="0.3">
      <c r="A160" s="25"/>
      <c r="B160" s="52"/>
      <c r="C160" s="26"/>
      <c r="D160" s="32"/>
      <c r="E160" s="32"/>
      <c r="F160" s="32"/>
      <c r="G160" s="32"/>
      <c r="H160" s="32"/>
      <c r="I160" s="32"/>
      <c r="J160" s="32"/>
      <c r="K160" s="58"/>
      <c r="L160" s="31" t="s">
        <v>119</v>
      </c>
      <c r="M160" s="32" t="s">
        <v>6</v>
      </c>
      <c r="N160" s="57">
        <v>1</v>
      </c>
      <c r="O160" s="65">
        <v>2015</v>
      </c>
    </row>
    <row r="161" spans="1:15" s="24" customFormat="1" ht="39" customHeight="1" x14ac:dyDescent="0.3">
      <c r="A161" s="25"/>
      <c r="B161" s="52"/>
      <c r="C161" s="26"/>
      <c r="D161" s="32"/>
      <c r="E161" s="32"/>
      <c r="F161" s="32"/>
      <c r="G161" s="32"/>
      <c r="H161" s="32"/>
      <c r="I161" s="32"/>
      <c r="J161" s="32"/>
      <c r="K161" s="58"/>
      <c r="L161" s="31" t="s">
        <v>120</v>
      </c>
      <c r="M161" s="32" t="s">
        <v>6</v>
      </c>
      <c r="N161" s="57">
        <v>1</v>
      </c>
      <c r="O161" s="65">
        <v>2015</v>
      </c>
    </row>
    <row r="162" spans="1:15" s="24" customFormat="1" ht="39" customHeight="1" x14ac:dyDescent="0.3">
      <c r="A162" s="25"/>
      <c r="B162" s="52"/>
      <c r="C162" s="26"/>
      <c r="D162" s="32"/>
      <c r="E162" s="32"/>
      <c r="F162" s="32"/>
      <c r="G162" s="32"/>
      <c r="H162" s="32"/>
      <c r="I162" s="32"/>
      <c r="J162" s="32"/>
      <c r="K162" s="58"/>
      <c r="L162" s="31" t="s">
        <v>136</v>
      </c>
      <c r="M162" s="32" t="s">
        <v>19</v>
      </c>
      <c r="N162" s="57">
        <f>32*1.8</f>
        <v>57.6</v>
      </c>
      <c r="O162" s="65">
        <v>2015</v>
      </c>
    </row>
    <row r="163" spans="1:15" s="24" customFormat="1" ht="39" customHeight="1" x14ac:dyDescent="0.3">
      <c r="A163" s="25"/>
      <c r="B163" s="52"/>
      <c r="C163" s="26"/>
      <c r="D163" s="32"/>
      <c r="E163" s="32"/>
      <c r="F163" s="32"/>
      <c r="G163" s="32"/>
      <c r="H163" s="32"/>
      <c r="I163" s="32"/>
      <c r="J163" s="32"/>
      <c r="K163" s="58"/>
      <c r="L163" s="31" t="s">
        <v>121</v>
      </c>
      <c r="M163" s="32" t="s">
        <v>19</v>
      </c>
      <c r="N163" s="63">
        <f>2*2*1</f>
        <v>4</v>
      </c>
      <c r="O163" s="65" t="s">
        <v>163</v>
      </c>
    </row>
    <row r="165" spans="1:15" ht="39" customHeight="1" x14ac:dyDescent="0.25">
      <c r="L165" s="41"/>
    </row>
    <row r="166" spans="1:15" ht="39" customHeight="1" x14ac:dyDescent="0.25">
      <c r="B166" s="44"/>
      <c r="I166" s="45"/>
    </row>
    <row r="167" spans="1:15" ht="39" customHeight="1" x14ac:dyDescent="0.25">
      <c r="A167" s="39"/>
      <c r="B167" s="46"/>
      <c r="C167" s="39"/>
      <c r="J167" s="39"/>
      <c r="K167" s="39"/>
      <c r="L167" s="41"/>
      <c r="M167" s="39"/>
      <c r="N167" s="39"/>
      <c r="O167" s="39"/>
    </row>
  </sheetData>
  <mergeCells count="19">
    <mergeCell ref="G139:G141"/>
    <mergeCell ref="K139:K141"/>
    <mergeCell ref="O47:O50"/>
    <mergeCell ref="G66:G67"/>
    <mergeCell ref="K66:K67"/>
    <mergeCell ref="O53:O56"/>
    <mergeCell ref="A1:N1"/>
    <mergeCell ref="A6:A8"/>
    <mergeCell ref="B6:B8"/>
    <mergeCell ref="C6:C8"/>
    <mergeCell ref="D6:D8"/>
    <mergeCell ref="E6:E8"/>
    <mergeCell ref="F6:F8"/>
    <mergeCell ref="G6:G8"/>
    <mergeCell ref="A3:O3"/>
    <mergeCell ref="A2:O2"/>
    <mergeCell ref="O6:O8"/>
    <mergeCell ref="H6:J7"/>
    <mergeCell ref="K6:K8"/>
  </mergeCells>
  <pageMargins left="0.25" right="0" top="0.25" bottom="0.25" header="0.31496062992126" footer="0.31496062992126"/>
  <pageSetup paperSize="9" scale="54" fitToHeight="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Phương án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HIEN ANH PC</dc:creator>
  <cp:lastModifiedBy>THANHGIONG</cp:lastModifiedBy>
  <cp:lastPrinted>2026-05-21T00:42:00Z</cp:lastPrinted>
  <dcterms:created xsi:type="dcterms:W3CDTF">2022-03-10T01:25:03Z</dcterms:created>
  <dcterms:modified xsi:type="dcterms:W3CDTF">2026-05-24T09:38:45Z</dcterms:modified>
</cp:coreProperties>
</file>